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EstaPasta_de_trabalho" defaultThemeVersion="124226"/>
  <xr:revisionPtr revIDLastSave="0" documentId="13_ncr:1_{58DE810E-5112-48C3-8E20-5E9E16B74349}" xr6:coauthVersionLast="47" xr6:coauthVersionMax="47" xr10:uidLastSave="{00000000-0000-0000-0000-000000000000}"/>
  <bookViews>
    <workbookView xWindow="-12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40" i="2" l="1"/>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S41" i="2"/>
  <c r="T41" i="2"/>
  <c r="U41" i="2"/>
  <c r="V41" i="2"/>
  <c r="W41" i="2"/>
  <c r="X41" i="2"/>
  <c r="Y41" i="2"/>
  <c r="Z41" i="2"/>
  <c r="AA41" i="2"/>
  <c r="AB41" i="2"/>
  <c r="AC41" i="2"/>
  <c r="AD41" i="2"/>
  <c r="AE41" i="2"/>
  <c r="AF41" i="2"/>
  <c r="AG41" i="2"/>
  <c r="AH41" i="2"/>
  <c r="AI41" i="2"/>
  <c r="J42" i="2"/>
  <c r="O43" i="2"/>
  <c r="P43" i="2"/>
  <c r="Q43" i="2"/>
  <c r="S43" i="2"/>
  <c r="T43" i="2"/>
  <c r="U43" i="2"/>
  <c r="V43" i="2"/>
  <c r="W43" i="2"/>
  <c r="X43" i="2"/>
  <c r="Y43" i="2"/>
  <c r="Z43" i="2"/>
  <c r="AA43" i="2"/>
  <c r="AB43" i="2"/>
  <c r="AC43" i="2"/>
  <c r="AD43" i="2"/>
  <c r="AE43" i="2"/>
  <c r="AF43" i="2"/>
  <c r="AG43" i="2"/>
  <c r="AH43" i="2"/>
  <c r="AI43" i="2"/>
  <c r="O44" i="2"/>
  <c r="O45" i="2"/>
  <c r="P45" i="2"/>
  <c r="Q45" i="2"/>
  <c r="S45" i="2"/>
  <c r="T45" i="2"/>
  <c r="U45" i="2"/>
  <c r="V45" i="2"/>
  <c r="W45" i="2"/>
  <c r="X45" i="2"/>
  <c r="Y45" i="2"/>
  <c r="Z45" i="2"/>
  <c r="AA45" i="2"/>
  <c r="AB45" i="2"/>
  <c r="AC45" i="2"/>
  <c r="AD45" i="2"/>
  <c r="AE45" i="2"/>
  <c r="AF45" i="2"/>
  <c r="AG45" i="2"/>
  <c r="AH45" i="2"/>
  <c r="AI45" i="2"/>
  <c r="O46" i="2"/>
  <c r="O47" i="2"/>
  <c r="P47" i="2"/>
  <c r="Q47" i="2"/>
  <c r="S47" i="2"/>
  <c r="T47" i="2"/>
  <c r="U47" i="2"/>
  <c r="V47" i="2"/>
  <c r="W47" i="2"/>
  <c r="X47" i="2"/>
  <c r="Y47" i="2"/>
  <c r="Z47" i="2"/>
  <c r="AA47" i="2"/>
  <c r="AB47" i="2"/>
  <c r="AC47" i="2"/>
  <c r="AD47" i="2"/>
  <c r="AE47" i="2"/>
  <c r="AF47" i="2"/>
  <c r="AG47" i="2"/>
  <c r="AH47" i="2"/>
  <c r="AI47" i="2"/>
  <c r="O48" i="2"/>
  <c r="O49" i="2"/>
  <c r="P49" i="2"/>
  <c r="Q49" i="2"/>
  <c r="S49" i="2"/>
  <c r="T49" i="2"/>
  <c r="U49" i="2"/>
  <c r="V49" i="2"/>
  <c r="W49" i="2"/>
  <c r="X49" i="2"/>
  <c r="Y49" i="2"/>
  <c r="Z49" i="2"/>
  <c r="AA49" i="2"/>
  <c r="AB49" i="2"/>
  <c r="AC49" i="2"/>
  <c r="AD49" i="2"/>
  <c r="AE49" i="2"/>
  <c r="AF49" i="2"/>
  <c r="AG49" i="2"/>
  <c r="AH49" i="2"/>
  <c r="AI49" i="2"/>
  <c r="O50" i="2"/>
  <c r="O51" i="2"/>
  <c r="P51" i="2"/>
  <c r="Q51" i="2"/>
  <c r="S51" i="2"/>
  <c r="T51" i="2"/>
  <c r="U51" i="2"/>
  <c r="V51" i="2"/>
  <c r="W51" i="2"/>
  <c r="X51" i="2"/>
  <c r="Y51" i="2"/>
  <c r="Z51" i="2"/>
  <c r="AA51" i="2"/>
  <c r="AB51" i="2"/>
  <c r="AC51" i="2"/>
  <c r="AD51" i="2"/>
  <c r="AE51" i="2"/>
  <c r="AF51" i="2"/>
  <c r="AG51" i="2"/>
  <c r="AH51" i="2"/>
  <c r="AI51" i="2"/>
  <c r="O52" i="2"/>
  <c r="O53" i="2"/>
  <c r="P53" i="2"/>
  <c r="Q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S83" i="2"/>
  <c r="T83" i="2"/>
  <c r="U83" i="2"/>
  <c r="V83" i="2"/>
  <c r="W83" i="2"/>
  <c r="X83" i="2"/>
  <c r="Y83" i="2"/>
  <c r="Z83" i="2"/>
  <c r="AA83" i="2"/>
  <c r="AB83" i="2"/>
  <c r="AC83" i="2"/>
  <c r="AD83" i="2"/>
  <c r="AE83" i="2"/>
  <c r="AF83" i="2"/>
  <c r="AG83" i="2"/>
  <c r="AH83" i="2"/>
  <c r="AI83" i="2"/>
  <c r="J84" i="2"/>
  <c r="O85" i="2"/>
  <c r="P85" i="2"/>
  <c r="Q85" i="2"/>
  <c r="S85" i="2"/>
  <c r="T85" i="2"/>
  <c r="U85" i="2"/>
  <c r="V85" i="2"/>
  <c r="W85" i="2"/>
  <c r="X85" i="2"/>
  <c r="Y85" i="2"/>
  <c r="Z85" i="2"/>
  <c r="AA85" i="2"/>
  <c r="AB85" i="2"/>
  <c r="AC85" i="2"/>
  <c r="AD85" i="2"/>
  <c r="AE85" i="2"/>
  <c r="AF85" i="2"/>
  <c r="AG85" i="2"/>
  <c r="AH85" i="2"/>
  <c r="AI85" i="2"/>
  <c r="O86" i="2"/>
  <c r="O87" i="2"/>
  <c r="P87" i="2"/>
  <c r="Q87" i="2"/>
  <c r="S87" i="2"/>
  <c r="T87" i="2"/>
  <c r="U87" i="2"/>
  <c r="V87" i="2"/>
  <c r="W87" i="2"/>
  <c r="X87" i="2"/>
  <c r="Y87" i="2"/>
  <c r="Z87" i="2"/>
  <c r="AA87" i="2"/>
  <c r="AB87" i="2"/>
  <c r="AC87" i="2"/>
  <c r="AD87" i="2"/>
  <c r="AE87" i="2"/>
  <c r="AF87" i="2"/>
  <c r="AG87" i="2"/>
  <c r="AH87" i="2"/>
  <c r="AI87" i="2"/>
  <c r="O88" i="2"/>
  <c r="O89" i="2"/>
  <c r="P89" i="2"/>
  <c r="Q89" i="2"/>
  <c r="S89" i="2"/>
  <c r="T89" i="2"/>
  <c r="U89" i="2"/>
  <c r="V89" i="2"/>
  <c r="W89" i="2"/>
  <c r="X89" i="2"/>
  <c r="Y89" i="2"/>
  <c r="Z89" i="2"/>
  <c r="AA89" i="2"/>
  <c r="AB89" i="2"/>
  <c r="AC89" i="2"/>
  <c r="AD89" i="2"/>
  <c r="AE89" i="2"/>
  <c r="AF89" i="2"/>
  <c r="AG89" i="2"/>
  <c r="AH89" i="2"/>
  <c r="AI89" i="2"/>
  <c r="O90" i="2"/>
  <c r="O91" i="2"/>
  <c r="P91" i="2"/>
  <c r="Q91" i="2"/>
  <c r="S91" i="2"/>
  <c r="T91" i="2"/>
  <c r="U91" i="2"/>
  <c r="V91" i="2"/>
  <c r="W91" i="2"/>
  <c r="X91" i="2"/>
  <c r="Y91" i="2"/>
  <c r="Z91" i="2"/>
  <c r="AA91" i="2"/>
  <c r="AB91" i="2"/>
  <c r="AC91" i="2"/>
  <c r="AD91" i="2"/>
  <c r="AE91" i="2"/>
  <c r="AF91" i="2"/>
  <c r="AG91" i="2"/>
  <c r="AH91" i="2"/>
  <c r="AI91" i="2"/>
  <c r="O92" i="2"/>
  <c r="O93" i="2"/>
  <c r="P93" i="2"/>
  <c r="Q93" i="2"/>
  <c r="S93" i="2"/>
  <c r="T93" i="2"/>
  <c r="U93" i="2"/>
  <c r="V93" i="2"/>
  <c r="W93" i="2"/>
  <c r="X93" i="2"/>
  <c r="Y93" i="2"/>
  <c r="Z93" i="2"/>
  <c r="AA93" i="2"/>
  <c r="AB93" i="2"/>
  <c r="AC93" i="2"/>
  <c r="AD93" i="2"/>
  <c r="AE93" i="2"/>
  <c r="AF93" i="2"/>
  <c r="AG93" i="2"/>
  <c r="AH93" i="2"/>
  <c r="AI93" i="2"/>
  <c r="O94" i="2"/>
  <c r="O95" i="2"/>
  <c r="P95" i="2"/>
  <c r="Q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84" i="2" l="1"/>
  <c r="R83" i="2" s="1"/>
  <c r="R63" i="2"/>
  <c r="R42" i="2"/>
  <c r="R41" i="2" s="1"/>
  <c r="Q84" i="2"/>
  <c r="Q63" i="2"/>
  <c r="Q42" i="2"/>
  <c r="P84" i="2"/>
  <c r="P63" i="2"/>
  <c r="M68" i="2" s="1"/>
  <c r="P42" i="2"/>
  <c r="M49"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I176"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M219" i="2"/>
  <c r="I105" i="2"/>
  <c r="M169" i="2"/>
  <c r="M176" i="2"/>
  <c r="P132" i="2"/>
  <c r="H105" i="2"/>
  <c r="H168" i="2"/>
  <c r="M111" i="2"/>
  <c r="I147" i="2"/>
  <c r="M131" i="2"/>
  <c r="M126" i="2" s="1"/>
  <c r="I172" i="2"/>
  <c r="H170" i="2"/>
  <c r="M107" i="2"/>
  <c r="M113" i="2"/>
  <c r="H126" i="2"/>
  <c r="M112" i="2"/>
  <c r="P107" i="2"/>
  <c r="M106" i="2"/>
  <c r="M114" i="2"/>
  <c r="M135" i="2"/>
  <c r="M128" i="2"/>
  <c r="M133" i="2"/>
  <c r="M127" i="2"/>
  <c r="M132" i="2"/>
  <c r="AA44" i="2"/>
  <c r="AA46" i="2" s="1"/>
  <c r="AA48" i="2" s="1"/>
  <c r="AA50" i="2" s="1"/>
  <c r="AA52" i="2" s="1"/>
  <c r="AA54" i="2" s="1"/>
  <c r="T46" i="2"/>
  <c r="T48" i="2" s="1"/>
  <c r="T50" i="2" s="1"/>
  <c r="T52" i="2" s="1"/>
  <c r="T54" i="2" s="1"/>
  <c r="M23" i="13"/>
  <c r="M86" i="2" l="1"/>
  <c r="M92" i="2"/>
  <c r="P86" i="2"/>
  <c r="M71" i="2"/>
  <c r="P44" i="2"/>
  <c r="R44" i="2"/>
  <c r="R43" i="2" s="1"/>
  <c r="M90" i="2"/>
  <c r="R86" i="2"/>
  <c r="R85" i="2" s="1"/>
  <c r="Q65" i="2"/>
  <c r="R65" i="2"/>
  <c r="H84" i="2"/>
  <c r="Q86" i="2"/>
  <c r="I63" i="2"/>
  <c r="H63" i="2"/>
  <c r="M72" i="2"/>
  <c r="P65" i="2"/>
  <c r="M70" i="2"/>
  <c r="M64" i="2"/>
  <c r="M69" i="2"/>
  <c r="M65" i="2"/>
  <c r="I42" i="2"/>
  <c r="M47" i="2"/>
  <c r="Q44" i="2"/>
  <c r="M48" i="2"/>
  <c r="H42" i="2"/>
  <c r="M43" i="2"/>
  <c r="M44" i="2"/>
  <c r="M50" i="2"/>
  <c r="M51" i="2"/>
  <c r="M93" i="2"/>
  <c r="M91" i="2"/>
  <c r="M89" i="2"/>
  <c r="I84" i="2"/>
  <c r="M85"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44" i="2" l="1"/>
  <c r="J44" i="2" s="1"/>
  <c r="Q88" i="2"/>
  <c r="I65" i="2"/>
  <c r="I44" i="2"/>
  <c r="Q46" i="2"/>
  <c r="P88" i="2"/>
  <c r="R88" i="2"/>
  <c r="R87" i="2" s="1"/>
  <c r="H86" i="2"/>
  <c r="J86" i="2" s="1"/>
  <c r="Q67" i="2"/>
  <c r="H65" i="2"/>
  <c r="J65" i="2" s="1"/>
  <c r="P67" i="2"/>
  <c r="R67" i="2"/>
  <c r="R46" i="2"/>
  <c r="R45" i="2" s="1"/>
  <c r="I86" i="2"/>
  <c r="P46"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I67" i="2" l="1"/>
  <c r="Q90" i="2"/>
  <c r="I88" i="2"/>
  <c r="H88" i="2"/>
  <c r="J88" i="2" s="1"/>
  <c r="P90" i="2"/>
  <c r="H67" i="2"/>
  <c r="J67" i="2" s="1"/>
  <c r="R69" i="2"/>
  <c r="P48" i="2"/>
  <c r="Q48" i="2"/>
  <c r="H46" i="2"/>
  <c r="J46" i="2" s="1"/>
  <c r="I46" i="2"/>
  <c r="R90" i="2"/>
  <c r="P69" i="2"/>
  <c r="Q69" i="2"/>
  <c r="R48"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H48" i="2" l="1"/>
  <c r="J48" i="2" s="1"/>
  <c r="P71" i="2"/>
  <c r="R89" i="2"/>
  <c r="R92" i="2" s="1"/>
  <c r="H90" i="2"/>
  <c r="J90" i="2" s="1"/>
  <c r="Q71" i="2"/>
  <c r="I69" i="2"/>
  <c r="H69" i="2"/>
  <c r="J69" i="2" s="1"/>
  <c r="R47" i="2"/>
  <c r="P50" i="2" s="1"/>
  <c r="R71"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I71" i="2" l="1"/>
  <c r="H71" i="2"/>
  <c r="J71" i="2" s="1"/>
  <c r="R21" i="2"/>
  <c r="P73" i="2"/>
  <c r="R91" i="2"/>
  <c r="P92" i="2"/>
  <c r="Q92" i="2"/>
  <c r="I90" i="2"/>
  <c r="R73" i="2"/>
  <c r="Q50" i="2"/>
  <c r="H50" i="2" s="1"/>
  <c r="J50" i="2" s="1"/>
  <c r="I48" i="2"/>
  <c r="R50" i="2"/>
  <c r="R49" i="2" s="1"/>
  <c r="Q73"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Q52" i="2" l="1"/>
  <c r="I73" i="2"/>
  <c r="Q94" i="2"/>
  <c r="H92" i="2"/>
  <c r="J92" i="2" s="1"/>
  <c r="P94" i="2"/>
  <c r="R94" i="2"/>
  <c r="I92" i="2"/>
  <c r="H73" i="2"/>
  <c r="J73" i="2" s="1"/>
  <c r="R75" i="2"/>
  <c r="P75" i="2"/>
  <c r="R52" i="2"/>
  <c r="R51" i="2" s="1"/>
  <c r="P52" i="2"/>
  <c r="I50" i="2"/>
  <c r="Q75" i="2"/>
  <c r="H75" i="2" s="1"/>
  <c r="H52" i="2"/>
  <c r="J52" i="2" s="1"/>
  <c r="M45" i="2"/>
  <c r="M46"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R54" i="2" l="1"/>
  <c r="R53" i="2" s="1"/>
  <c r="Q54" i="2"/>
  <c r="I52" i="2"/>
  <c r="P54" i="2"/>
  <c r="H54" i="2" s="1"/>
  <c r="J54" i="2" s="1"/>
  <c r="T55" i="2" s="1"/>
  <c r="M42" i="2"/>
  <c r="M36" i="2" s="1"/>
  <c r="I75" i="2"/>
  <c r="R93" i="2"/>
  <c r="H94" i="2"/>
  <c r="J94" i="2" s="1"/>
  <c r="M66"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T1315" i="2"/>
  <c r="X1063" i="2"/>
  <c r="Z1567" i="2"/>
  <c r="U1420" i="2"/>
  <c r="AC1168" i="2"/>
  <c r="M1054" i="2"/>
  <c r="AF1063" i="2"/>
  <c r="AF1567" i="2"/>
  <c r="W1567" i="2"/>
  <c r="AD1567" i="2"/>
  <c r="M1978" i="2"/>
  <c r="M235" i="2"/>
  <c r="AH1567" i="2"/>
  <c r="W1168" i="2"/>
  <c r="R1063" i="2"/>
  <c r="W979" i="2"/>
  <c r="P1063" i="2"/>
  <c r="U1882" i="2"/>
  <c r="AH1063" i="2"/>
  <c r="U286" i="2"/>
  <c r="T979" i="2"/>
  <c r="AC1063" i="2"/>
  <c r="AI286" i="2"/>
  <c r="V1987" i="2"/>
  <c r="AE1987" i="2"/>
  <c r="V1882" i="2"/>
  <c r="AG1420" i="2"/>
  <c r="W1420" i="2"/>
  <c r="M1999" i="2"/>
  <c r="AA1021" i="2"/>
  <c r="AF1294" i="2"/>
  <c r="Y1168" i="2"/>
  <c r="S685" i="2"/>
  <c r="AA1735" i="2"/>
  <c r="AE1294" i="2"/>
  <c r="V685" i="2"/>
  <c r="M1048" i="2"/>
  <c r="J75" i="2"/>
  <c r="M67" i="2"/>
  <c r="M63" i="2" s="1"/>
  <c r="M57" i="2" s="1"/>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V286" i="2"/>
  <c r="M1768" i="2"/>
  <c r="M466" i="2"/>
  <c r="V2071" i="2"/>
  <c r="E3" i="10"/>
  <c r="I54" i="2" l="1"/>
  <c r="I94" i="2"/>
  <c r="Q96" i="2"/>
  <c r="P96" i="2"/>
  <c r="R96" i="2"/>
  <c r="R95" i="2" s="1"/>
  <c r="Y55" i="2"/>
  <c r="AI55" i="2"/>
  <c r="S55" i="2"/>
  <c r="Q55" i="2"/>
  <c r="X55" i="2"/>
  <c r="AB55" i="2"/>
  <c r="V55" i="2"/>
  <c r="W55" i="2"/>
  <c r="Z55" i="2"/>
  <c r="AG55" i="2"/>
  <c r="AF55" i="2"/>
  <c r="AD55" i="2"/>
  <c r="AH55" i="2"/>
  <c r="AA55" i="2"/>
  <c r="AE55" i="2"/>
  <c r="R55" i="2"/>
  <c r="P55" i="2"/>
  <c r="U55" i="2"/>
  <c r="M40" i="2"/>
  <c r="AC55"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I96" i="2" l="1"/>
  <c r="M87" i="2" s="1"/>
  <c r="H96" i="2"/>
  <c r="J96" i="2" s="1"/>
  <c r="U20" i="2"/>
  <c r="P20" i="2"/>
  <c r="Q20" i="2"/>
  <c r="R20" i="2"/>
  <c r="M88" i="2" l="1"/>
  <c r="M84" i="2" s="1"/>
  <c r="M78" i="2" s="1"/>
  <c r="AH97" i="2"/>
  <c r="M82" i="2"/>
  <c r="V97" i="2"/>
  <c r="AE97" i="2"/>
  <c r="AI97" i="2"/>
  <c r="X97" i="2"/>
  <c r="U97" i="2"/>
  <c r="Z97" i="2"/>
  <c r="W97" i="2"/>
  <c r="AD97" i="2"/>
  <c r="AB97" i="2"/>
  <c r="R97" i="2"/>
  <c r="T97" i="2"/>
  <c r="AF97" i="2"/>
  <c r="AC97" i="2"/>
  <c r="P97" i="2"/>
  <c r="Q97" i="2"/>
  <c r="AA97" i="2"/>
  <c r="AG97" i="2"/>
  <c r="S97" i="2"/>
  <c r="Y97" i="2"/>
  <c r="V20" i="2"/>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J8" i="11" s="1"/>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H9" i="2" s="1"/>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S8" i="12" s="1"/>
  <c r="AJ8" i="12"/>
  <c r="AD8" i="12"/>
  <c r="Z8" i="12"/>
  <c r="N8" i="12"/>
  <c r="AB8" i="12"/>
  <c r="AF8" i="12"/>
  <c r="F9" i="11"/>
  <c r="H9" i="11"/>
  <c r="L9" i="11"/>
  <c r="I9" i="11"/>
  <c r="B10" i="11"/>
  <c r="G9" i="11"/>
  <c r="I9" i="12"/>
  <c r="G9" i="12"/>
  <c r="H9" i="12"/>
  <c r="B10" i="12"/>
  <c r="F9" i="12"/>
  <c r="AE8" i="12" l="1"/>
  <c r="Y8" i="12"/>
  <c r="AK8" i="12"/>
  <c r="U8" i="12"/>
  <c r="W8" i="12"/>
  <c r="AA8" i="12"/>
  <c r="AI8" i="12"/>
  <c r="Q8" i="12"/>
  <c r="AG8" i="12"/>
  <c r="AC8" i="12"/>
  <c r="O8" i="12"/>
  <c r="D10" i="12"/>
  <c r="C10" i="12"/>
  <c r="D10" i="11"/>
  <c r="C10" i="11"/>
  <c r="AH9" i="12"/>
  <c r="P9" i="12"/>
  <c r="AB9" i="12"/>
  <c r="AD9" i="12"/>
  <c r="T9" i="12"/>
  <c r="K9" i="12"/>
  <c r="Z9" i="12"/>
  <c r="N9" i="12"/>
  <c r="X9" i="12"/>
  <c r="AF9" i="12"/>
  <c r="R9" i="12"/>
  <c r="AJ9" i="12"/>
  <c r="AG9" i="12" l="1"/>
  <c r="Y9" i="12"/>
  <c r="O9" i="12"/>
  <c r="AA9" i="12"/>
  <c r="S9" i="12"/>
  <c r="AK9" i="12"/>
  <c r="AE9" i="12"/>
  <c r="Q9" i="12"/>
  <c r="AC9" i="12"/>
  <c r="AI9" i="12"/>
  <c r="U9" i="12"/>
  <c r="B11" i="12"/>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AH10" i="12"/>
  <c r="AI10" i="12" s="1"/>
  <c r="AF10" i="12"/>
  <c r="AD10" i="12"/>
  <c r="AJ10" i="12"/>
  <c r="Z10" i="12"/>
  <c r="X10" i="12"/>
  <c r="AB10" i="12"/>
  <c r="AC10" i="12" s="1"/>
  <c r="J11" i="12"/>
  <c r="AB11" i="12" s="1"/>
  <c r="P10" i="12"/>
  <c r="R10" i="12" s="1"/>
  <c r="T10" i="12" s="1"/>
  <c r="V10" i="12" s="1"/>
  <c r="W10" i="12" s="1"/>
  <c r="B12" i="11"/>
  <c r="AG10" i="12" l="1"/>
  <c r="Y10" i="12"/>
  <c r="AA10" i="12"/>
  <c r="AE10" i="12"/>
  <c r="AK10" i="12"/>
  <c r="U10" i="12"/>
  <c r="Q10" i="12"/>
  <c r="S10" i="12"/>
  <c r="D12" i="12"/>
  <c r="AJ11" i="12"/>
  <c r="AH11" i="12"/>
  <c r="AD11" i="12"/>
  <c r="N11" i="12"/>
  <c r="B13" i="12"/>
  <c r="F12" i="12"/>
  <c r="I12" i="12"/>
  <c r="G12" i="12"/>
  <c r="H12" i="12"/>
  <c r="R11" i="12"/>
  <c r="V11" i="12"/>
  <c r="P11" i="12"/>
  <c r="T11" i="12"/>
  <c r="AF11" i="12"/>
  <c r="X11" i="12"/>
  <c r="K11" i="12"/>
  <c r="AC11" i="12" s="1"/>
  <c r="J12" i="12"/>
  <c r="Z11" i="12"/>
  <c r="C12" i="11"/>
  <c r="D12" i="11"/>
  <c r="O11" i="12" l="1"/>
  <c r="AK11" i="12"/>
  <c r="S11" i="12"/>
  <c r="S12" i="12" s="1"/>
  <c r="U11" i="12"/>
  <c r="U12" i="12" s="1"/>
  <c r="Y11" i="12"/>
  <c r="Y12" i="12" s="1"/>
  <c r="Q11" i="12"/>
  <c r="Q12" i="12" s="1"/>
  <c r="AE11" i="12"/>
  <c r="AE12" i="12" s="1"/>
  <c r="W11" i="12"/>
  <c r="AG11" i="12"/>
  <c r="AI11" i="12"/>
  <c r="AI12" i="12" s="1"/>
  <c r="AA11" i="12"/>
  <c r="AA12" i="12" s="1"/>
  <c r="D13" i="12"/>
  <c r="C13" i="12"/>
  <c r="J13" i="12" s="1"/>
  <c r="AK12" i="12"/>
  <c r="K12" i="12"/>
  <c r="AC12" i="12"/>
  <c r="L12" i="11"/>
  <c r="I12" i="11"/>
  <c r="G12" i="11"/>
  <c r="H12" i="11"/>
  <c r="F12" i="11"/>
  <c r="B13" i="11"/>
  <c r="W12" i="12" l="1"/>
  <c r="AG12" i="12"/>
  <c r="B14" i="12"/>
  <c r="D14" i="12" s="1"/>
  <c r="E13" i="12"/>
  <c r="F13" i="12"/>
  <c r="H13" i="12"/>
  <c r="I13" i="12"/>
  <c r="G13" i="12"/>
  <c r="C14" i="12"/>
  <c r="J14" i="12" s="1"/>
  <c r="K13" i="12"/>
  <c r="T12" i="12" s="1"/>
  <c r="D13" i="11"/>
  <c r="C13" i="11"/>
  <c r="AB12" i="12" l="1"/>
  <c r="Z12" i="12"/>
  <c r="X12" i="12"/>
  <c r="V12" i="12"/>
  <c r="R12" i="12"/>
  <c r="AH12" i="12"/>
  <c r="AD12" i="12"/>
  <c r="AF12" i="12"/>
  <c r="P12" i="12"/>
  <c r="AJ12" i="12"/>
  <c r="U14" i="12"/>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11" i="12" s="1"/>
  <c r="E9" i="12"/>
  <c r="G68" i="12" a="1"/>
  <c r="G68" i="12" s="1"/>
  <c r="E68" i="12"/>
  <c r="H68" i="12"/>
  <c r="I68" i="12"/>
  <c r="F68" i="12"/>
  <c r="B67" i="11"/>
  <c r="H66" i="11"/>
  <c r="I66" i="11"/>
  <c r="F66" i="11"/>
  <c r="G66" i="11"/>
  <c r="L66" i="11"/>
  <c r="E66" i="11"/>
  <c r="L9" i="12" l="1"/>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13" i="12" l="1"/>
  <c r="N12" i="12"/>
  <c r="N13" i="12" s="1"/>
  <c r="O12" i="12"/>
  <c r="B68" i="11"/>
  <c r="H67" i="11"/>
  <c r="G67" i="11"/>
  <c r="F67" i="11"/>
  <c r="L67" i="11"/>
  <c r="I67" i="11"/>
  <c r="O13" i="12" l="1"/>
  <c r="P13" i="12"/>
  <c r="D68" i="11"/>
  <c r="C68" i="11"/>
  <c r="Q13" i="12" l="1"/>
  <c r="R13" i="12"/>
  <c r="E68" i="11"/>
  <c r="B69" i="11"/>
  <c r="G68" i="11"/>
  <c r="L68" i="11"/>
  <c r="I68" i="11"/>
  <c r="F68" i="11"/>
  <c r="H68" i="11"/>
  <c r="S13" i="12" l="1"/>
  <c r="T13" i="12"/>
  <c r="D69" i="11"/>
  <c r="C69" i="11"/>
  <c r="U13" i="12" l="1"/>
  <c r="V13" i="12"/>
  <c r="B70" i="11"/>
  <c r="F69" i="11"/>
  <c r="G69" i="11"/>
  <c r="L69" i="11"/>
  <c r="I69" i="11"/>
  <c r="H69" i="11"/>
  <c r="E69" i="11"/>
  <c r="W13" i="12" l="1"/>
  <c r="X13" i="12"/>
  <c r="D70" i="11"/>
  <c r="E70" i="11" s="1"/>
  <c r="C70" i="11"/>
  <c r="Y13" i="12" l="1"/>
  <c r="Z13" i="12"/>
  <c r="B71" i="11"/>
  <c r="I70" i="11"/>
  <c r="F70" i="11"/>
  <c r="G70" i="11"/>
  <c r="L70" i="11"/>
  <c r="H70" i="11"/>
  <c r="AA13" i="12" l="1"/>
  <c r="AB13" i="12"/>
  <c r="D71" i="11"/>
  <c r="C71" i="11"/>
  <c r="AC13" i="12" l="1"/>
  <c r="AD13" i="12"/>
  <c r="B72" i="11"/>
  <c r="I71" i="11"/>
  <c r="F71" i="11"/>
  <c r="H71" i="11"/>
  <c r="L71" i="11"/>
  <c r="G71" i="11"/>
  <c r="E71" i="11"/>
  <c r="AE13" i="12" l="1"/>
  <c r="AF13" i="12"/>
  <c r="C72" i="11"/>
  <c r="D72" i="11"/>
  <c r="E72" i="11" s="1"/>
  <c r="AG13" i="12" l="1"/>
  <c r="AH13" i="12"/>
  <c r="B73" i="11"/>
  <c r="L72" i="11"/>
  <c r="G72" i="11"/>
  <c r="H72" i="11"/>
  <c r="F72" i="11"/>
  <c r="I72" i="11"/>
  <c r="AI13" i="12" l="1"/>
  <c r="AJ13" i="12"/>
  <c r="D73" i="11"/>
  <c r="C73" i="11"/>
  <c r="AK13" i="12" l="1"/>
  <c r="B74" i="1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2" i="11"/>
  <c r="J105" i="1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K8" i="1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K23" i="1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12"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8" i="10" l="1"/>
  <c r="M9" i="10" s="1"/>
  <c r="O7" i="10"/>
  <c r="P7" i="10" s="1"/>
  <c r="M10" i="10" l="1"/>
  <c r="O8" i="10"/>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<sst xmlns="http://schemas.openxmlformats.org/spreadsheetml/2006/main" count="3459" uniqueCount="442">
  <si>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</si>
  <si>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</si>
  <si>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</si>
  <si>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</si>
  <si>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</si>
  <si>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</si>
  <si>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</si>
  <si>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</si>
  <si>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</si>
  <si>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</si>
  <si>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</si>
  <si>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</si>
  <si>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</si>
  <si>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</si>
  <si>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</si>
  <si>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</si>
  <si>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</si>
  <si>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</si>
  <si>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</si>
  <si>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</si>
  <si>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</si>
  <si>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</si>
  <si>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</si>
  <si>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</si>
  <si>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</si>
  <si>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</si>
  <si>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</si>
  <si>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</si>
  <si>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</si>
  <si>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</si>
  <si>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</si>
  <si>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</si>
  <si>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</si>
  <si>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</si>
  <si>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</si>
  <si>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</si>
  <si>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</si>
  <si>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</si>
  <si>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</si>
  <si>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</si>
  <si>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</si>
  <si>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</si>
  <si>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</si>
  <si>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</si>
  <si>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</si>
  <si>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</si>
  <si>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</si>
  <si>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</si>
  <si>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</si>
  <si>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</si>
  <si>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</si>
  <si>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</si>
  <si>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</si>
  <si>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</si>
  <si>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</si>
  <si>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</si>
  <si>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</si>
  <si>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</si>
  <si>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</si>
  <si>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</si>
  <si>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</si>
  <si>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</si>
  <si>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</si>
  <si>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</si>
  <si>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</si>
  <si>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</si>
  <si>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</si>
  <si>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</si>
  <si>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</si>
  <si>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</si>
  <si>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</si>
  <si>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</si>
  <si>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</si>
  <si>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</si>
  <si>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</si>
  <si>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</si>
  <si>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</si>
  <si>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</si>
  <si>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</si>
  <si>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</si>
  <si>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</si>
  <si>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</si>
  <si>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</si>
  <si>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</si>
  <si>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</si>
  <si>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</si>
  <si>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</si>
  <si>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</si>
  <si>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</si>
  <si>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</si>
  <si>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</si>
  <si>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</si>
  <si>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</si>
  <si>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</si>
  <si>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</si>
  <si>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</si>
  <si>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</si>
  <si>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</si>
  <si>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</si>
  <si>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</si>
  <si>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</si>
  <si>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</si>
  <si>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</si>
  <si>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</si>
  <si>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</si>
  <si>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</si>
  <si>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</si>
  <si>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</si>
  <si>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</si>
  <si>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</si>
  <si>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</si>
  <si>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</si>
  <si>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</si>
  <si>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</si>
  <si>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</si>
  <si>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</si>
  <si>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</si>
  <si>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</si>
  <si>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</si>
  <si>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</si>
  <si>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</si>
  <si>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</si>
  <si>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</si>
  <si>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</si>
  <si>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</si>
  <si>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</si>
  <si>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</si>
  <si>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</si>
  <si>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</si>
  <si>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</si>
  <si>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</si>
  <si>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</si>
  <si>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</si>
  <si>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</si>
  <si>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</si>
  <si>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</si>
  <si>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</si>
  <si>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</si>
  <si>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</si>
  <si>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</si>
  <si>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</si>
  <si>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</si>
  <si>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</si>
  <si>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</si>
  <si>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</si>
  <si>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</si>
  <si>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</si>
  <si>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</si>
  <si>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</si>
  <si>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</si>
  <si>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</si>
  <si>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</si>
  <si>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</si>
  <si>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</si>
  <si>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</si>
  <si>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</si>
  <si>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</si>
  <si>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</si>
  <si>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</si>
  <si>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</si>
  <si>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</si>
  <si>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</si>
  <si>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</si>
  <si>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</si>
  <si>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</si>
  <si>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</si>
  <si>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</si>
  <si>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</si>
  <si>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</si>
  <si>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</si>
  <si>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</si>
  <si>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</si>
  <si>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</si>
  <si>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</si>
  <si>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</si>
  <si>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</si>
  <si>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</si>
  <si>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</si>
  <si>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</si>
  <si>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</si>
  <si>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</si>
  <si>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</si>
  <si>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</si>
  <si>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</si>
  <si>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</si>
  <si>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</si>
  <si>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</si>
  <si>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</si>
  <si>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</si>
  <si>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</si>
  <si>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</si>
  <si>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</si>
  <si>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</si>
  <si>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</si>
  <si>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</si>
  <si>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</si>
  <si>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</si>
  <si>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</si>
  <si>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</si>
  <si>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</si>
  <si>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</si>
  <si>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</si>
  <si>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</si>
  <si>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</si>
  <si>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</si>
  <si>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</si>
  <si>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</si>
  <si>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</si>
  <si>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</si>
  <si>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</si>
  <si>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</si>
  <si>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</si>
  <si>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</si>
  <si>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</si>
  <si>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</si>
  <si>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</si>
  <si>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</si>
  <si>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</si>
  <si>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</si>
  <si>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</si>
  <si>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</si>
  <si>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</si>
  <si>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</si>
  <si>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</si>
  <si>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</si>
  <si>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</si>
  <si>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</si>
  <si>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</si>
  <si>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</si>
  <si>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</si>
  <si>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</si>
  <si>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</si>
  <si>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</si>
  <si>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</si>
  <si>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</si>
  <si>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</si>
  <si>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</si>
  <si>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</si>
  <si>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</si>
  <si>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</si>
  <si>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</si>
  <si>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</si>
  <si>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</si>
  <si>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</si>
  <si>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</si>
  <si>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</si>
  <si>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</si>
  <si>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</si>
  <si>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</si>
  <si>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</si>
  <si>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</si>
  <si>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</si>
  <si>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</si>
  <si>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</si>
  <si>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</si>
  <si>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</si>
  <si>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</si>
  <si>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</si>
  <si>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</si>
  <si>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</si>
  <si>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</si>
  <si>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</si>
  <si>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</si>
  <si>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</si>
  <si>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</si>
  <si>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</si>
  <si>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</si>
  <si>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</si>
  <si>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</si>
  <si>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</si>
  <si>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</si>
  <si>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</si>
  <si>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</si>
  <si>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</si>
  <si>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</si>
  <si>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</si>
  <si>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</si>
  <si>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</si>
  <si>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</si>
  <si>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</si>
  <si>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</si>
  <si>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</si>
  <si>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</si>
  <si>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</si>
  <si>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</si>
  <si>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</si>
  <si>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</si>
  <si>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</si>
  <si>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</si>
  <si>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</si>
  <si>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</si>
  <si>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</si>
  <si>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</si>
  <si>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</si>
  <si>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</si>
  <si>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</si>
  <si>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</si>
  <si>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</si>
  <si>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</si>
  <si>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</si>
  <si>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</si>
  <si>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</si>
  <si>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</si>
  <si>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</si>
  <si>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</si>
  <si>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</si>
  <si>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</si>
  <si>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</si>
  <si>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</si>
  <si>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</si>
  <si>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</si>
  <si>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</si>
  <si>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</si>
  <si>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</si>
  <si>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</si>
  <si>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</si>
  <si>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</si>
  <si>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</si>
  <si>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</si>
  <si>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</si>
  <si>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</si>
  <si>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</si>
  <si>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</si>
  <si>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</si>
  <si>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</si>
  <si>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</si>
  <si>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</si>
  <si>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</si>
  <si>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</si>
  <si>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</si>
  <si>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</si>
  <si>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</si>
  <si>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</si>
  <si>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</si>
  <si>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</si>
  <si>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</si>
  <si>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</si>
  <si>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</si>
  <si>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</si>
  <si>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</si>
  <si>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</si>
  <si>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</si>
  <si>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</si>
  <si>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</si>
  <si>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</si>
  <si>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</si>
  <si>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</si>
  <si>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</si>
  <si>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</si>
  <si>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</si>
  <si>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</si>
  <si>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</si>
  <si>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</si>
  <si>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</si>
  <si>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</si>
  <si>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</si>
  <si>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</si>
  <si>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</si>
  <si>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</si>
  <si>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</si>
  <si>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</si>
  <si>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</si>
  <si>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</si>
  <si>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</si>
  <si>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</si>
  <si>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</si>
  <si>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</si>
  <si>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</si>
  <si>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</si>
  <si>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</si>
  <si>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</si>
  <si>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</si>
  <si>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</si>
  <si>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</si>
  <si>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</si>
  <si>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</si>
  <si>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</si>
  <si>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</si>
  <si>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</si>
  <si>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</si>
  <si>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</si>
  <si>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</si>
  <si>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</si>
  <si>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</si>
  <si>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</si>
  <si>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</si>
  <si>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</si>
  <si>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</si>
  <si>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</si>
  <si>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</si>
  <si>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</si>
  <si>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</si>
  <si>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</si>
  <si>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</si>
  <si>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</si>
  <si>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</si>
  <si>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</si>
  <si>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</si>
  <si>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</si>
  <si>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</si>
  <si>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</si>
  <si>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</si>
  <si>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</si>
  <si>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</si>
  <si>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</si>
  <si>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</si>
  <si>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</si>
  <si>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</si>
  <si>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</si>
  <si>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</si>
  <si>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</si>
  <si>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</si>
  <si>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</si>
  <si>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</si>
  <si>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</si>
  <si>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</si>
  <si>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</si>
  <si>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</si>
  <si>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</si>
  <si>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</si>
  <si>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</si>
  <si>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</si>
  <si>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</si>
  <si>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</si>
  <si>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</si>
  <si>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</si>
  <si>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</si>
  <si>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</si>
  <si>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</si>
  <si>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</si>
  <si>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</si>
  <si>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</si>
  <si>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</si>
  <si>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SMPG</t>
  </si>
  <si>
    <t>26.0.000023715-8</t>
  </si>
  <si>
    <t>DPF</t>
  </si>
  <si>
    <t>Gabriela dos Santos Rodrigues</t>
  </si>
  <si>
    <t>PNCP</t>
  </si>
  <si>
    <t>Camiseta personalizada</t>
  </si>
  <si>
    <t>Caneta personalizada metálica</t>
  </si>
  <si>
    <t>Sacola de pano personalizada</t>
  </si>
  <si>
    <t>Moleskini personalizado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</si>
</sst>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8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https://pncp.gov.br/app/contratos/12251189000174/2026/1" TargetMode="External"/><Relationship Id="rId7" Type="http://schemas.openxmlformats.org/officeDocument/2006/relationships/vmlDrawing" Target="../drawings/vmlDrawing1.vml"/><Relationship Id="rId2" Type="http://schemas.openxmlformats.org/officeDocument/2006/relationships/hyperlink" Target="https://pncp.gov.br/app/contratos/07616162000106/2026/50" TargetMode="External"/><Relationship Id="rId1" Type="http://schemas.openxmlformats.org/officeDocument/2006/relationships/hyperlink" Target="https://pncp.gov.br/app/contratos/92411156000183/2026/26"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pncp.gov.br/app/contratos/25053190000136/2025/442"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zoomScale="85" zoomScaleNormal="85" workbookViewId="0">
      <selection activeCell="O10" sqref="O1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SMPG
MAPA DE PREÇOS - JAN/26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433</v>
      </c>
      <c r="I5" s="220"/>
      <c r="J5" s="220"/>
      <c r="K5" s="141"/>
      <c r="L5" s="206" t="s">
        <v>321</v>
      </c>
      <c r="M5" s="207"/>
      <c r="N5" s="207"/>
      <c r="O5" s="221" t="s">
        <v>435</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436</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434</v>
      </c>
      <c r="I7" s="220"/>
      <c r="J7" s="220"/>
      <c r="K7" s="141"/>
      <c r="L7" s="206" t="s">
        <v>351</v>
      </c>
      <c r="M7" s="207"/>
      <c r="N7" s="207"/>
      <c r="O7" s="221">
        <v>1724002</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7" t="s">
        <v>33</v>
      </c>
      <c r="F8" s="207"/>
      <c r="G8" s="207"/>
      <c r="H8" s="210">
        <v>4</v>
      </c>
      <c r="I8" s="211"/>
      <c r="J8" s="212"/>
      <c r="K8" s="141"/>
      <c r="L8" s="213" t="s">
        <v>301</v>
      </c>
      <c r="M8" s="214"/>
      <c r="N8" s="215"/>
      <c r="O8" s="227">
        <v>46097</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M34+M55+M76+M97</f>
        <v>23106</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12.19</v>
      </c>
      <c r="N15" s="69"/>
      <c r="O15" s="27" t="s">
        <v>17</v>
      </c>
      <c r="P15" s="113">
        <v>11.76</v>
      </c>
      <c r="Q15" s="113">
        <v>11.87</v>
      </c>
      <c r="R15" s="113">
        <v>12.56</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
        <v>440</v>
      </c>
      <c r="I16" s="192"/>
      <c r="J16" s="193"/>
      <c r="K16" s="66"/>
      <c r="L16" s="184"/>
      <c r="M16" s="186"/>
      <c r="N16" s="70"/>
      <c r="O16" s="27" t="s">
        <v>13</v>
      </c>
      <c r="P16" s="122">
        <v>46094</v>
      </c>
      <c r="Q16" s="122">
        <v>46094</v>
      </c>
      <c r="R16" s="122">
        <v>46091</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300</v>
      </c>
      <c r="N17" s="71"/>
      <c r="O17" s="27" t="s">
        <v>380</v>
      </c>
      <c r="P17" s="114" t="s">
        <v>377</v>
      </c>
      <c r="Q17" s="114" t="s">
        <v>377</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f>INDEX('BASE FORMAÇÃO'!D:D,B19+1)</f>
        <v>0</v>
      </c>
      <c r="N18" s="71"/>
      <c r="O18" s="27" t="s">
        <v>381</v>
      </c>
      <c r="P18" s="115"/>
      <c r="Q18" s="115"/>
      <c r="R18" s="182" t="s">
        <v>437</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3.0730231695180073E-2</v>
      </c>
      <c r="N19" s="71"/>
      <c r="O19" s="27" t="s">
        <v>18</v>
      </c>
      <c r="P19" s="106">
        <f>IF(P15="","",
IF(OR(P17="Orçamento",P16="",MAX('Tabela de Apoio'!$A:$A)&lt;=P16),
P15,
(INDEX('Tabela de Apoio'!$B:$B,MATCH('MAPA DE PREÇOS'!$O$8,'Tabela de Apoio'!$A:$A,1))/INDEX('Tabela de Apoio'!$B:$B,MATCH('MAPA DE PREÇOS'!P16,'Tabela de Apoio'!$A:$A,1)-1))*P15))</f>
        <v>11.76</v>
      </c>
      <c r="Q19" s="106">
        <f>IF(Q15="","",
IF(OR(Q17="Orçamento",Q16="",MAX('Tabela de Apoio'!$A:$A)&lt;=Q16),
Q15,
(INDEX('Tabela de Apoio'!$B:$B,MATCH('MAPA DE PREÇOS'!$O$8,'Tabela de Apoio'!$A:$A,1))/INDEX('Tabela de Apoio'!$B:$B,MATCH('MAPA DE PREÇOS'!Q16,'Tabela de Apoio'!$A:$A,1)-1))*Q15))</f>
        <v>11.87</v>
      </c>
      <c r="R19" s="106">
        <f>IF(R15="","",
IF(OR(R17="Orçamento",R16="",MAX('Tabela de Apoio'!$A:$A)&lt;=R16),
R15,
(INDEX('Tabela de Apoio'!$B:$B,MATCH('MAPA DE PREÇOS'!$O$8,'Tabela de Apoio'!$A:$A,1))/INDEX('Tabela de Apoio'!$B:$B,MATCH('MAPA DE PREÇOS'!R16,'Tabela de Apoio'!$A:$A,1)-1))*R15))</f>
        <v>12.56</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f>IF(IFERROR(VLOOKUP(R17,'Tabela de Apoio'!$D:$E,2,FALSE),1)=1,"",R21)</f>
        <v>12.56</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3.0730231695180073E-2</v>
      </c>
      <c r="J21" s="7">
        <f>ROW()</f>
        <v>21</v>
      </c>
      <c r="K21" s="67"/>
      <c r="L21" s="29" t="s">
        <v>10</v>
      </c>
      <c r="M21" s="30">
        <f>IFERROR(
IF(COUNTA(P15:AI15)=COUNTIF(P17:XX17,"Orçamento"),MIN(M26,M23),
IF(M24&lt;&gt;"",M24,
IF(M25&lt;&gt;"",M25,
M23
))),"")</f>
        <v>12.1875</v>
      </c>
      <c r="N21" s="71"/>
      <c r="O21" s="27" t="s">
        <v>376</v>
      </c>
      <c r="P21" s="106">
        <f>IFERROR(IF(P19="",
            "",
            IF(COUNT($P19:$XX19)&lt;=4,
               P19,
               IF(OR(P19&gt;(QUARTILE($P19:$XX19,3)+(QUARTILE($P19:$XX19,3)-QUARTILE($P19:$XX19,1))),
                     P19&lt;(QUARTILE($P19:$XX19,1)-(QUARTILE($P19:$XX19,3)-QUARTILE($P19:$XX19,1)))
                  ),
               "DESCARTADO",P19)
             )
  ),P19)</f>
        <v>11.76</v>
      </c>
      <c r="Q21" s="106">
        <f t="shared" ref="Q21:AI21" si="3">IFERROR(IF(Q19="",
            "",
            IF(COUNT($P19:$XX19)&lt;=4,
               Q19,
               IF(OR(Q19&gt;(QUARTILE($P19:$XX19,3)+(QUARTILE($P19:$XX19,3)-QUARTILE($P19:$XX19,1))),
                     Q19&lt;(QUARTILE($P19:$XX19,1)-(QUARTILE($P19:$XX19,3)-QUARTILE($P19:$XX19,1)))
                  ),
               "DESCARTADO",Q19)
             )
  ),Q19)</f>
        <v>11.87</v>
      </c>
      <c r="R21" s="106">
        <f t="shared" si="3"/>
        <v>12.56</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12.063333333333333</v>
      </c>
      <c r="N22" s="71"/>
      <c r="O22" s="27" t="str">
        <f>"1 POND"</f>
        <v>1 POND</v>
      </c>
      <c r="P22" s="107" t="str">
        <f>IF(IFERROR(VLOOKUP(P17,'Tabela de Apoio'!$D:$E,2,FALSE),1)=1,"",P23)</f>
        <v/>
      </c>
      <c r="Q22" s="107" t="str">
        <f>IF(IFERROR(VLOOKUP(Q17,'Tabela de Apoio'!$D:$E,2,FALSE),1)=1,"",Q23)</f>
        <v/>
      </c>
      <c r="R22" s="107">
        <f>IF(IFERROR(VLOOKUP(R17,'Tabela de Apoio'!$D:$E,2,FALSE),1)=1,"",R23)</f>
        <v>12.56</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3</v>
      </c>
      <c r="I23" s="132">
        <f>_xlfn.STDEV.P($P22:$XX23)/AVERAGE($P22:$XX23)</f>
        <v>3.0730231695180073E-2</v>
      </c>
      <c r="J23" s="7">
        <f>IF(AND(H23&gt;2,
OR(L15="MÉDIA SANEADA",L15="MEDIANA SANEADA",
AND(L15="PREÇO ESTIMADO",NOT(AND(P17="Orçamento",COUNTA(P15:XX15)=COUNTIF(P17:XX17,"Orçamento")))))),
ROW(),0)</f>
        <v>23</v>
      </c>
      <c r="K23" s="66"/>
      <c r="L23" s="29" t="s">
        <v>361</v>
      </c>
      <c r="M23" s="30">
        <f>MEDIAN($P21:$XX21)</f>
        <v>11.87</v>
      </c>
      <c r="N23" s="71"/>
      <c r="O23" s="27" t="str">
        <f>"1 RODADA"</f>
        <v>1 RODADA</v>
      </c>
      <c r="P23" s="107">
        <f>IF(P21="","",IF((_xlfn.STDEV.P($P20:$XX21)/AVERAGE($P20:$XX21))&lt;=25%,P21,IF(OR(P21&gt;(AVERAGE($P20:$XX21)+_xlfn.STDEV.P($P20:$XX21)),P21&lt;(AVERAGE($P20:$XX21)-_xlfn.STDEV.P($P20:$XX21))),"DESCARTADO",P21)))</f>
        <v>11.76</v>
      </c>
      <c r="Q23" s="107">
        <f t="shared" ref="Q23:AI23" si="6">IF(Q21="","",IF((_xlfn.STDEV.P($P20:$XX21)/AVERAGE($P20:$XX21))&lt;=25%,Q21,IF(OR(Q21&gt;(AVERAGE($P20:$XX21)+_xlfn.STDEV.P($P20:$XX21)),Q21&lt;(AVERAGE($P20:$XX21)-_xlfn.STDEV.P($P20:$XX21))),"DESCARTADO",Q21)))</f>
        <v>11.87</v>
      </c>
      <c r="R23" s="107">
        <f t="shared" si="6"/>
        <v>12.56</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12.1875</v>
      </c>
      <c r="N24" s="71"/>
      <c r="O24" s="27" t="str">
        <f>"2 POND"</f>
        <v>2 POND</v>
      </c>
      <c r="P24" s="107" t="str">
        <f>IF(IFERROR(VLOOKUP(P17,'Tabela de Apoio'!$D:$E,2,FALSE),1)=1,"",P25)</f>
        <v/>
      </c>
      <c r="Q24" s="107" t="str">
        <f>IF(IFERROR(VLOOKUP(Q17,'Tabela de Apoio'!$D:$E,2,FALSE),1)=1,"",Q25)</f>
        <v/>
      </c>
      <c r="R24" s="107">
        <f>IF(IFERROR(VLOOKUP(R17,'Tabela de Apoio'!$D:$E,2,FALSE),1)=1,"",R25)</f>
        <v>12.56</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3</v>
      </c>
      <c r="I25" s="132">
        <f>_xlfn.STDEV.P($P24:$XX25)/AVERAGE($P24:$XX25)</f>
        <v>3.0730231695180073E-2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12.215</v>
      </c>
      <c r="N25" s="71"/>
      <c r="O25" s="27" t="str">
        <f>"2 RODADA"</f>
        <v>2 RODADA</v>
      </c>
      <c r="P25" s="107">
        <f>IF(P23="","",IF((_xlfn.STDEV.P($P22:$XX23)/AVERAGE($P22:$XX23))&lt;=25%,P23,IF(OR(P23&gt;(AVERAGE($P22:$XX23)+_xlfn.STDEV.P($P22:$XX23)),P23&lt;(AVERAGE($P22:$XX23)-_xlfn.STDEV.P($P22:$XX23))),"DESCARTADO",P23)))</f>
        <v>11.76</v>
      </c>
      <c r="Q25" s="107">
        <f t="shared" ref="Q25:AI25" si="7">IF(Q23="","",IF((_xlfn.STDEV.P($P22:$XX23)/AVERAGE($P22:$XX23))&lt;=25%,Q23,IF(OR(Q23&gt;(AVERAGE($P22:$XX23)+_xlfn.STDEV.P($P22:$XX23)),Q23&lt;(AVERAGE($P22:$XX23)-_xlfn.STDEV.P($P22:$XX23))),"DESCARTADO",Q23)))</f>
        <v>11.87</v>
      </c>
      <c r="R25" s="107">
        <f t="shared" si="7"/>
        <v>12.56</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12.17597891020308</v>
      </c>
      <c r="N26" s="71"/>
      <c r="O26" s="27" t="str">
        <f>"3 POND"</f>
        <v>3 POND</v>
      </c>
      <c r="P26" s="107" t="str">
        <f>IF(IFERROR(VLOOKUP(P17,'Tabela de Apoio'!$D:$E,2,FALSE),1)=1,"",P27)</f>
        <v/>
      </c>
      <c r="Q26" s="107" t="str">
        <f>IF(IFERROR(VLOOKUP(Q17,'Tabela de Apoio'!$D:$E,2,FALSE),1)=1,"",Q27)</f>
        <v/>
      </c>
      <c r="R26" s="107">
        <f>IF(IFERROR(VLOOKUP(R17,'Tabela de Apoio'!$D:$E,2,FALSE),1)=1,"",R27)</f>
        <v>12.56</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3</v>
      </c>
      <c r="I27" s="132">
        <f>_xlfn.STDEV.P($P26:$XX27)/AVERAGE($P26:$XX27)</f>
        <v>3.0730231695180073E-2</v>
      </c>
      <c r="J27" s="7">
        <f>IF(AND(H27&gt;2,
OR(L15="MÉDIA SANEADA",L15="MEDIANA SANEADA",
AND(L15="PREÇO ESTIMADO",NOT(AND(P17="Orçamento",COUNTA(P15:XX15)=COUNTIF(P17:XX17,"Orçamento")))))),
ROW(),0)</f>
        <v>27</v>
      </c>
      <c r="K27" s="66"/>
      <c r="L27" s="29" t="s">
        <v>41</v>
      </c>
      <c r="M27" s="30">
        <f>IFERROR(_xlfn.QUARTILE.EXC($P21:$XX21,1),"")</f>
        <v>11.76</v>
      </c>
      <c r="N27" s="71"/>
      <c r="O27" s="27" t="str">
        <f>"3 RODADA"</f>
        <v>3 RODADA</v>
      </c>
      <c r="P27" s="107">
        <f>IF(P25="","",IF((_xlfn.STDEV.P($P24:$XX25)/AVERAGE($P24:$XX25))&lt;=25%,P25,IF(OR(P25&gt;(AVERAGE($P24:$XX25)+_xlfn.STDEV.P($P24:$XX25)),P25&lt;(AVERAGE($P24:$XX25)-_xlfn.STDEV.P($P24:$XX25))),"DESCARTADO",P25)))</f>
        <v>11.76</v>
      </c>
      <c r="Q27" s="107">
        <f t="shared" ref="Q27:AI27" si="8">IF(Q25="","",IF((_xlfn.STDEV.P($P24:$XX25)/AVERAGE($P24:$XX25))&lt;=25%,Q25,IF(OR(Q25&gt;(AVERAGE($P24:$XX25)+_xlfn.STDEV.P($P24:$XX25)),Q25&lt;(AVERAGE($P24:$XX25)-_xlfn.STDEV.P($P24:$XX25))),"DESCARTADO",Q25)))</f>
        <v>11.87</v>
      </c>
      <c r="R27" s="107">
        <f t="shared" si="8"/>
        <v>12.56</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12.56</v>
      </c>
      <c r="N28" s="71"/>
      <c r="O28" s="27" t="str">
        <f>"4 POND"</f>
        <v>4 POND</v>
      </c>
      <c r="P28" s="107" t="str">
        <f>IF(IFERROR(VLOOKUP(P17,'Tabela de Apoio'!$D:$E,2,FALSE),1)=1,"",P29)</f>
        <v/>
      </c>
      <c r="Q28" s="107" t="str">
        <f>IF(IFERROR(VLOOKUP(Q17,'Tabela de Apoio'!$D:$E,2,FALSE),1)=1,"",Q29)</f>
        <v/>
      </c>
      <c r="R28" s="107">
        <f>IF(IFERROR(VLOOKUP(R17,'Tabela de Apoio'!$D:$E,2,FALSE),1)=1,"",R29)</f>
        <v>12.56</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3</v>
      </c>
      <c r="I29" s="132">
        <f>_xlfn.STDEV.P($P28:$XX29)/AVERAGE($P28:$XX29)</f>
        <v>3.0730231695180073E-2</v>
      </c>
      <c r="J29" s="7">
        <f>IF(AND(H29&gt;2,
OR(L15="MÉDIA SANEADA",L15="MEDIANA SANEADA",
AND(L15="PREÇO ESTIMADO",NOT(AND(P17="Orçamento",COUNTA(P15:XX15)=COUNTIF(P17:XX17,"Orçamento")))))),
ROW(),0)</f>
        <v>29</v>
      </c>
      <c r="K29" s="66"/>
      <c r="L29" s="29" t="s">
        <v>42</v>
      </c>
      <c r="M29" s="30">
        <f>MIN($P21:$XX21)</f>
        <v>11.76</v>
      </c>
      <c r="N29" s="71"/>
      <c r="O29" s="27" t="str">
        <f>"4 RODADA"</f>
        <v>4 RODADA</v>
      </c>
      <c r="P29" s="107">
        <f>IF(P27="","",IF((_xlfn.STDEV.P($P26:$XX27)/AVERAGE($P26:$XX27))&lt;=25%,P27,IF(OR(P27&gt;(AVERAGE($P26:$XX27)+_xlfn.STDEV.P($P26:$XX27)),P27&lt;(AVERAGE($P26:$XX27)-_xlfn.STDEV.P($P26:$XX27))),"DESCARTADO",P27)))</f>
        <v>11.76</v>
      </c>
      <c r="Q29" s="107">
        <f t="shared" ref="Q29:AI29" si="9">IF(Q27="","",IF((_xlfn.STDEV.P($P26:$XX27)/AVERAGE($P26:$XX27))&lt;=25%,Q27,IF(OR(Q27&gt;(AVERAGE($P26:$XX27)+_xlfn.STDEV.P($P26:$XX27)),Q27&lt;(AVERAGE($P26:$XX27)-_xlfn.STDEV.P($P26:$XX27))),"DESCARTADO",Q27)))</f>
        <v>11.87</v>
      </c>
      <c r="R29" s="107">
        <f t="shared" si="9"/>
        <v>12.56</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12.56</v>
      </c>
      <c r="N30" s="71"/>
      <c r="O30" s="27" t="str">
        <f>"5 POND"</f>
        <v>5 POND</v>
      </c>
      <c r="P30" s="107" t="str">
        <f>IF(IFERROR(VLOOKUP(P17,'Tabela de Apoio'!$D:$E,2,FALSE),1)=1,"",P31)</f>
        <v/>
      </c>
      <c r="Q30" s="107" t="str">
        <f>IF(IFERROR(VLOOKUP(Q17,'Tabela de Apoio'!$D:$E,2,FALSE),1)=1,"",Q31)</f>
        <v/>
      </c>
      <c r="R30" s="107">
        <f>IF(IFERROR(VLOOKUP(R17,'Tabela de Apoio'!$D:$E,2,FALSE),1)=1,"",R31)</f>
        <v>12.56</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3</v>
      </c>
      <c r="I31" s="132">
        <f>_xlfn.STDEV.P($P30:$XX31)/AVERAGE($P30:$XX31)</f>
        <v>3.0730231695180073E-2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11.76</v>
      </c>
      <c r="Q31" s="107">
        <f t="shared" ref="Q31:AI31" si="10">IF(Q29="","",IF((_xlfn.STDEV.P($P28:$XX29)/AVERAGE($P28:$XX29))&lt;=25%,Q29,IF(OR(Q29&gt;(AVERAGE($P28:$XX29)+_xlfn.STDEV.P($P28:$XX29)),Q29&lt;(AVERAGE($P28:$XX29)-_xlfn.STDEV.P($P28:$XX29))),"DESCARTADO",Q29)))</f>
        <v>11.87</v>
      </c>
      <c r="R31" s="107">
        <f t="shared" si="10"/>
        <v>12.56</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f>IF(IFERROR(VLOOKUP(R17,'Tabela de Apoio'!$D:$E,2,FALSE),1)=1,"",R33)</f>
        <v>12.56</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3</v>
      </c>
      <c r="I33" s="132">
        <f>_xlfn.STDEV.P($P32:$XX33)/AVERAGE($P32:$XX33)</f>
        <v>3.0730231695180073E-2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11.76</v>
      </c>
      <c r="Q33" s="107">
        <f t="shared" ref="Q33:AI33" si="11">IFERROR(IF(Q31="","",IF((_xlfn.STDEV.P($P30:$XX31)/AVERAGE($P30:$XX31))&lt;=25%,Q31,IF(OR(Q31&gt;(AVERAGE($P30:$XX31)+_xlfn.STDEV.P($P30:$XX31)),Q31&lt;(AVERAGE($P30:$XX31)-_xlfn.STDEV.P($P30:$XX31))),"DESCARTADO",Q31))),)</f>
        <v>11.87</v>
      </c>
      <c r="R33" s="107">
        <f t="shared" si="11"/>
        <v>12.56</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3657</v>
      </c>
      <c r="O34" s="27" t="s">
        <v>363</v>
      </c>
      <c r="P34" s="107">
        <f>INDEX(P21:P33,MATCH(MAX($J21:$J33),$J21:$J33,0))</f>
        <v>11.76</v>
      </c>
      <c r="Q34" s="107">
        <f t="shared" ref="Q34:R34" si="12">INDEX(Q21:Q33,MATCH(MAX($J21:$J33),$J21:$J33,0))</f>
        <v>11.87</v>
      </c>
      <c r="R34" s="107">
        <f t="shared" si="12"/>
        <v>12.56</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3.36</v>
      </c>
      <c r="N36" s="69"/>
      <c r="O36" s="27" t="s">
        <v>17</v>
      </c>
      <c r="P36" s="113">
        <v>3.86</v>
      </c>
      <c r="Q36" s="113">
        <v>3.77</v>
      </c>
      <c r="R36" s="113">
        <v>2.9</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
        <v>439</v>
      </c>
      <c r="I37" s="192"/>
      <c r="J37" s="193"/>
      <c r="K37" s="66"/>
      <c r="L37" s="184"/>
      <c r="M37" s="186"/>
      <c r="N37" s="70"/>
      <c r="O37" s="27" t="s">
        <v>13</v>
      </c>
      <c r="P37" s="122">
        <v>46094</v>
      </c>
      <c r="Q37" s="122">
        <v>46094</v>
      </c>
      <c r="R37" s="122">
        <v>46091</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v>300</v>
      </c>
      <c r="N38" s="71"/>
      <c r="O38" s="27" t="s">
        <v>380</v>
      </c>
      <c r="P38" s="114" t="s">
        <v>377</v>
      </c>
      <c r="Q38" s="114" t="s">
        <v>377</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f>INDEX('BASE FORMAÇÃO'!D:D,B40+1)</f>
        <v>0</v>
      </c>
      <c r="N39" s="71"/>
      <c r="O39" s="27" t="s">
        <v>381</v>
      </c>
      <c r="P39" s="115"/>
      <c r="Q39" s="115"/>
      <c r="R39" s="182" t="s">
        <v>437</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0.13659127993635573</v>
      </c>
      <c r="N40" s="71"/>
      <c r="O40" s="27" t="s">
        <v>18</v>
      </c>
      <c r="P40" s="106">
        <f>IF(P36="","",
IF(OR(P38="Orçamento",P37="",MAX('Tabela de Apoio'!$A:$A)&lt;=P37),
P36,
(INDEX('Tabela de Apoio'!$B:$B,MATCH('MAPA DE PREÇOS'!$O$8,'Tabela de Apoio'!$A:$A,1))/INDEX('Tabela de Apoio'!$B:$B,MATCH('MAPA DE PREÇOS'!P37,'Tabela de Apoio'!$A:$A,1)-1))*P36))</f>
        <v>3.86</v>
      </c>
      <c r="Q40" s="106">
        <f>IF(Q36="","",
IF(OR(Q38="Orçamento",Q37="",MAX('Tabela de Apoio'!$A:$A)&lt;=Q37),
Q36,
(INDEX('Tabela de Apoio'!$B:$B,MATCH('MAPA DE PREÇOS'!$O$8,'Tabela de Apoio'!$A:$A,1))/INDEX('Tabela de Apoio'!$B:$B,MATCH('MAPA DE PREÇOS'!Q37,'Tabela de Apoio'!$A:$A,1)-1))*Q36))</f>
        <v>3.77</v>
      </c>
      <c r="R40" s="106">
        <f>IF(R36="","",
IF(OR(R38="Orçamento",R37="",MAX('Tabela de Apoio'!$A:$A)&lt;=R37),
R36,
(INDEX('Tabela de Apoio'!$B:$B,MATCH('MAPA DE PREÇOS'!$O$8,'Tabela de Apoio'!$A:$A,1))/INDEX('Tabela de Apoio'!$B:$B,MATCH('MAPA DE PREÇOS'!R37,'Tabela de Apoio'!$A:$A,1)-1))*R36))</f>
        <v>2.9</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t="str">
        <f>IF(IFERROR(VLOOKUP(P38,'Tabela de Apoio'!$D:$E,2,FALSE),1)=1,"",P42)</f>
        <v/>
      </c>
      <c r="Q41" s="107" t="str">
        <f>IF(IFERROR(VLOOKUP(Q38,'Tabela de Apoio'!$D:$E,2,FALSE),1)=1,"",Q42)</f>
        <v/>
      </c>
      <c r="R41" s="107">
        <f>IF(IFERROR(VLOOKUP(R38,'Tabela de Apoio'!$D:$E,2,FALSE),1)=1,"",R42)</f>
        <v>2.9</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0.13659127993635573</v>
      </c>
      <c r="J42" s="7">
        <f>ROW()</f>
        <v>42</v>
      </c>
      <c r="K42" s="67"/>
      <c r="L42" s="29" t="s">
        <v>10</v>
      </c>
      <c r="M42" s="30">
        <f t="shared" ref="M42" si="46">IFERROR(
IF(COUNTA(P36:AI36)=COUNTIF(P38:XX38,"Orçamento"),MIN(M47,M44),
IF(M45&lt;&gt;"",M45,
IF(M46&lt;&gt;"",M46,
M44
))),"")</f>
        <v>3.3574999999999999</v>
      </c>
      <c r="N42" s="71"/>
      <c r="O42" s="27" t="s">
        <v>376</v>
      </c>
      <c r="P42" s="106">
        <f t="shared" ref="P42:AI42" si="47">IFERROR(IF(P40="",
            "",
            IF(COUNT($P40:$XX40)&lt;=4,
               P40,
               IF(OR(P40&gt;(QUARTILE($P40:$XX40,3)+(QUARTILE($P40:$XX40,3)-QUARTILE($P40:$XX40,1))),
                     P40&lt;(QUARTILE($P40:$XX40,1)-(QUARTILE($P40:$XX40,3)-QUARTILE($P40:$XX40,1)))
                  ),
               "DESCARTADO",P40)
             )
  ),P40)</f>
        <v>3.86</v>
      </c>
      <c r="Q42" s="106">
        <f t="shared" si="47"/>
        <v>3.77</v>
      </c>
      <c r="R42" s="106">
        <f t="shared" si="47"/>
        <v>2.9</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3.51</v>
      </c>
      <c r="N43" s="71"/>
      <c r="O43" s="27" t="str">
        <f t="shared" ref="O43" si="52">"1 POND"</f>
        <v>1 POND</v>
      </c>
      <c r="P43" s="107" t="str">
        <f>IF(IFERROR(VLOOKUP(P38,'Tabela de Apoio'!$D:$E,2,FALSE),1)=1,"",P44)</f>
        <v/>
      </c>
      <c r="Q43" s="107" t="str">
        <f>IF(IFERROR(VLOOKUP(Q38,'Tabela de Apoio'!$D:$E,2,FALSE),1)=1,"",Q44)</f>
        <v/>
      </c>
      <c r="R43" s="107">
        <f>IF(IFERROR(VLOOKUP(R38,'Tabela de Apoio'!$D:$E,2,FALSE),1)=1,"",R44)</f>
        <v>2.9</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3</v>
      </c>
      <c r="I44" s="132">
        <f t="shared" ref="I44" si="54">_xlfn.STDEV.P($P43:$XX44)/AVERAGE($P43:$XX44)</f>
        <v>0.13659127993635573</v>
      </c>
      <c r="J44" s="7">
        <f t="shared" ref="J44" si="55">IF(AND(H44&gt;2,
OR(L36="MÉDIA SANEADA",L36="MEDIANA SANEADA",
AND(L36="PREÇO ESTIMADO",NOT(AND(P38="Orçamento",COUNTA(P36:XX36)=COUNTIF(P38:XX38,"Orçamento")))))),
ROW(),0)</f>
        <v>44</v>
      </c>
      <c r="K44" s="66"/>
      <c r="L44" s="29" t="s">
        <v>361</v>
      </c>
      <c r="M44" s="30">
        <f t="shared" ref="M44" si="56">MEDIAN($P42:$XX42)</f>
        <v>3.77</v>
      </c>
      <c r="N44" s="71"/>
      <c r="O44" s="27" t="str">
        <f t="shared" ref="O44" si="57">"1 RODADA"</f>
        <v>1 RODADA</v>
      </c>
      <c r="P44" s="107">
        <f t="shared" ref="P44:AI44" si="58">IF(P42="","",IF((_xlfn.STDEV.P($P41:$XX42)/AVERAGE($P41:$XX42))&lt;=25%,P42,IF(OR(P42&gt;(AVERAGE($P41:$XX42)+_xlfn.STDEV.P($P41:$XX42)),P42&lt;(AVERAGE($P41:$XX42)-_xlfn.STDEV.P($P41:$XX42))),"DESCARTADO",P42)))</f>
        <v>3.86</v>
      </c>
      <c r="Q44" s="107">
        <f t="shared" si="58"/>
        <v>3.77</v>
      </c>
      <c r="R44" s="107">
        <f t="shared" si="58"/>
        <v>2.9</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3.3574999999999999</v>
      </c>
      <c r="N45" s="71"/>
      <c r="O45" s="27" t="str">
        <f t="shared" ref="O45" si="60">"2 POND"</f>
        <v>2 POND</v>
      </c>
      <c r="P45" s="107" t="str">
        <f>IF(IFERROR(VLOOKUP(P38,'Tabela de Apoio'!$D:$E,2,FALSE),1)=1,"",P46)</f>
        <v/>
      </c>
      <c r="Q45" s="107" t="str">
        <f>IF(IFERROR(VLOOKUP(Q38,'Tabela de Apoio'!$D:$E,2,FALSE),1)=1,"",Q46)</f>
        <v/>
      </c>
      <c r="R45" s="107">
        <f>IF(IFERROR(VLOOKUP(R38,'Tabela de Apoio'!$D:$E,2,FALSE),1)=1,"",R46)</f>
        <v>2.9</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3</v>
      </c>
      <c r="I46" s="132">
        <f t="shared" ref="I46" si="62">_xlfn.STDEV.P($P45:$XX46)/AVERAGE($P45:$XX46)</f>
        <v>0.13659127993635573</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3.335</v>
      </c>
      <c r="N46" s="71"/>
      <c r="O46" s="27" t="str">
        <f t="shared" ref="O46" si="65">"2 RODADA"</f>
        <v>2 RODADA</v>
      </c>
      <c r="P46" s="107">
        <f t="shared" ref="P46:AI46" si="66">IF(P44="","",IF((_xlfn.STDEV.P($P43:$XX44)/AVERAGE($P43:$XX44))&lt;=25%,P44,IF(OR(P44&gt;(AVERAGE($P43:$XX44)+_xlfn.STDEV.P($P43:$XX44)),P44&lt;(AVERAGE($P43:$XX44)-_xlfn.STDEV.P($P43:$XX44))),"DESCARTADO",P44)))</f>
        <v>3.86</v>
      </c>
      <c r="Q46" s="107">
        <f t="shared" si="66"/>
        <v>3.77</v>
      </c>
      <c r="R46" s="107">
        <f t="shared" si="66"/>
        <v>2.9</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3.2949620740405297</v>
      </c>
      <c r="N47" s="71"/>
      <c r="O47" s="27" t="str">
        <f t="shared" ref="O47" si="68">"3 POND"</f>
        <v>3 POND</v>
      </c>
      <c r="P47" s="107" t="str">
        <f>IF(IFERROR(VLOOKUP(P38,'Tabela de Apoio'!$D:$E,2,FALSE),1)=1,"",P48)</f>
        <v/>
      </c>
      <c r="Q47" s="107" t="str">
        <f>IF(IFERROR(VLOOKUP(Q38,'Tabela de Apoio'!$D:$E,2,FALSE),1)=1,"",Q48)</f>
        <v/>
      </c>
      <c r="R47" s="107">
        <f>IF(IFERROR(VLOOKUP(R38,'Tabela de Apoio'!$D:$E,2,FALSE),1)=1,"",R48)</f>
        <v>2.9</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3</v>
      </c>
      <c r="I48" s="132">
        <f t="shared" ref="I48" si="70">_xlfn.STDEV.P($P47:$XX48)/AVERAGE($P47:$XX48)</f>
        <v>0.13659127993635573</v>
      </c>
      <c r="J48" s="7">
        <f t="shared" ref="J48" si="71">IF(AND(H48&gt;2,
OR(L36="MÉDIA SANEADA",L36="MEDIANA SANEADA",
AND(L36="PREÇO ESTIMADO",NOT(AND(P38="Orçamento",COUNTA(P36:XX36)=COUNTIF(P38:XX38,"Orçamento")))))),
ROW(),0)</f>
        <v>48</v>
      </c>
      <c r="K48" s="66"/>
      <c r="L48" s="29" t="s">
        <v>41</v>
      </c>
      <c r="M48" s="30">
        <f t="shared" ref="M48" si="72">IFERROR(_xlfn.QUARTILE.EXC($P42:$XX42,1),"")</f>
        <v>2.9</v>
      </c>
      <c r="N48" s="71"/>
      <c r="O48" s="27" t="str">
        <f t="shared" ref="O48" si="73">"3 RODADA"</f>
        <v>3 RODADA</v>
      </c>
      <c r="P48" s="107">
        <f t="shared" ref="P48:AI48" si="74">IF(P46="","",IF((_xlfn.STDEV.P($P45:$XX46)/AVERAGE($P45:$XX46))&lt;=25%,P46,IF(OR(P46&gt;(AVERAGE($P45:$XX46)+_xlfn.STDEV.P($P45:$XX46)),P46&lt;(AVERAGE($P45:$XX46)-_xlfn.STDEV.P($P45:$XX46))),"DESCARTADO",P46)))</f>
        <v>3.86</v>
      </c>
      <c r="Q48" s="107">
        <f t="shared" si="74"/>
        <v>3.77</v>
      </c>
      <c r="R48" s="107">
        <f t="shared" si="74"/>
        <v>2.9</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3.86</v>
      </c>
      <c r="N49" s="71"/>
      <c r="O49" s="27" t="str">
        <f t="shared" ref="O49" si="76">"4 POND"</f>
        <v>4 POND</v>
      </c>
      <c r="P49" s="107" t="str">
        <f>IF(IFERROR(VLOOKUP(P38,'Tabela de Apoio'!$D:$E,2,FALSE),1)=1,"",P50)</f>
        <v/>
      </c>
      <c r="Q49" s="107" t="str">
        <f>IF(IFERROR(VLOOKUP(Q38,'Tabela de Apoio'!$D:$E,2,FALSE),1)=1,"",Q50)</f>
        <v/>
      </c>
      <c r="R49" s="107">
        <f>IF(IFERROR(VLOOKUP(R38,'Tabela de Apoio'!$D:$E,2,FALSE),1)=1,"",R50)</f>
        <v>2.9</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3</v>
      </c>
      <c r="I50" s="132">
        <f t="shared" ref="I50" si="78">_xlfn.STDEV.P($P49:$XX50)/AVERAGE($P49:$XX50)</f>
        <v>0.13659127993635573</v>
      </c>
      <c r="J50" s="7">
        <f t="shared" ref="J50" si="79">IF(AND(H50&gt;2,
OR(L36="MÉDIA SANEADA",L36="MEDIANA SANEADA",
AND(L36="PREÇO ESTIMADO",NOT(AND(P38="Orçamento",COUNTA(P36:XX36)=COUNTIF(P38:XX38,"Orçamento")))))),
ROW(),0)</f>
        <v>50</v>
      </c>
      <c r="K50" s="66"/>
      <c r="L50" s="29" t="s">
        <v>42</v>
      </c>
      <c r="M50" s="30">
        <f t="shared" ref="M50" si="80">MIN($P42:$XX42)</f>
        <v>2.9</v>
      </c>
      <c r="N50" s="71"/>
      <c r="O50" s="27" t="str">
        <f t="shared" ref="O50" si="81">"4 RODADA"</f>
        <v>4 RODADA</v>
      </c>
      <c r="P50" s="107">
        <f t="shared" ref="P50:AI50" si="82">IF(P48="","",IF((_xlfn.STDEV.P($P47:$XX48)/AVERAGE($P47:$XX48))&lt;=25%,P48,IF(OR(P48&gt;(AVERAGE($P47:$XX48)+_xlfn.STDEV.P($P47:$XX48)),P48&lt;(AVERAGE($P47:$XX48)-_xlfn.STDEV.P($P47:$XX48))),"DESCARTADO",P48)))</f>
        <v>3.86</v>
      </c>
      <c r="Q50" s="107">
        <f t="shared" si="82"/>
        <v>3.77</v>
      </c>
      <c r="R50" s="107">
        <f t="shared" si="82"/>
        <v>2.9</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3.86</v>
      </c>
      <c r="N51" s="71"/>
      <c r="O51" s="27" t="str">
        <f t="shared" ref="O51" si="84">"5 POND"</f>
        <v>5 POND</v>
      </c>
      <c r="P51" s="107" t="str">
        <f>IF(IFERROR(VLOOKUP(P38,'Tabela de Apoio'!$D:$E,2,FALSE),1)=1,"",P52)</f>
        <v/>
      </c>
      <c r="Q51" s="107" t="str">
        <f>IF(IFERROR(VLOOKUP(Q38,'Tabela de Apoio'!$D:$E,2,FALSE),1)=1,"",Q52)</f>
        <v/>
      </c>
      <c r="R51" s="107">
        <f>IF(IFERROR(VLOOKUP(R38,'Tabela de Apoio'!$D:$E,2,FALSE),1)=1,"",R52)</f>
        <v>2.9</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3</v>
      </c>
      <c r="I52" s="132">
        <f t="shared" ref="I52" si="86">_xlfn.STDEV.P($P51:$XX52)/AVERAGE($P51:$XX52)</f>
        <v>0.13659127993635573</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3.86</v>
      </c>
      <c r="Q52" s="107">
        <f t="shared" si="89"/>
        <v>3.77</v>
      </c>
      <c r="R52" s="107">
        <f t="shared" si="89"/>
        <v>2.9</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f>IF(IFERROR(VLOOKUP(R38,'Tabela de Apoio'!$D:$E,2,FALSE),1)=1,"",R54)</f>
        <v>2.9</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3</v>
      </c>
      <c r="I54" s="132">
        <f t="shared" ref="I54" si="92">_xlfn.STDEV.P($P53:$XX54)/AVERAGE($P53:$XX54)</f>
        <v>0.13659127993635573</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3.86</v>
      </c>
      <c r="Q54" s="107">
        <f t="shared" si="95"/>
        <v>3.77</v>
      </c>
      <c r="R54" s="107">
        <f t="shared" si="95"/>
        <v>2.9</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1008</v>
      </c>
      <c r="O55" s="27" t="s">
        <v>363</v>
      </c>
      <c r="P55" s="107">
        <f t="shared" ref="P55:AI76" si="97">INDEX(P42:P54,MATCH(MAX($J42:$J54),$J42:$J54,0))</f>
        <v>3.86</v>
      </c>
      <c r="Q55" s="107">
        <f t="shared" si="97"/>
        <v>3.77</v>
      </c>
      <c r="R55" s="107">
        <f t="shared" si="97"/>
        <v>2.9</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46.5</v>
      </c>
      <c r="N57" s="69"/>
      <c r="O57" s="27" t="s">
        <v>17</v>
      </c>
      <c r="P57" s="113">
        <v>50.8</v>
      </c>
      <c r="Q57" s="113">
        <v>43.27</v>
      </c>
      <c r="R57" s="113">
        <v>46.5</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
        <v>438</v>
      </c>
      <c r="I58" s="192"/>
      <c r="J58" s="193"/>
      <c r="K58" s="66"/>
      <c r="L58" s="184"/>
      <c r="M58" s="186"/>
      <c r="N58" s="70"/>
      <c r="O58" s="27" t="s">
        <v>13</v>
      </c>
      <c r="P58" s="122">
        <v>46094</v>
      </c>
      <c r="Q58" s="122">
        <v>46094</v>
      </c>
      <c r="R58" s="122">
        <v>46091</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v>300</v>
      </c>
      <c r="N59" s="71"/>
      <c r="O59" s="27" t="s">
        <v>380</v>
      </c>
      <c r="P59" s="114" t="s">
        <v>377</v>
      </c>
      <c r="Q59" s="114" t="s">
        <v>377</v>
      </c>
      <c r="R59" s="114" t="s">
        <v>377</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f>INDEX('BASE FORMAÇÃO'!D:D,B61+1)</f>
        <v>0</v>
      </c>
      <c r="N60" s="71"/>
      <c r="O60" s="27" t="s">
        <v>381</v>
      </c>
      <c r="P60" s="115"/>
      <c r="Q60" s="115"/>
      <c r="R60" s="182" t="s">
        <v>437</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6.5827082024944514E-2</v>
      </c>
      <c r="N61" s="71"/>
      <c r="O61" s="27" t="s">
        <v>18</v>
      </c>
      <c r="P61" s="106">
        <f>IF(P57="","",
IF(OR(P59="Orçamento",P58="",MAX('Tabela de Apoio'!$A:$A)&lt;=P58),
P57,
(INDEX('Tabela de Apoio'!$B:$B,MATCH('MAPA DE PREÇOS'!$O$8,'Tabela de Apoio'!$A:$A,1))/INDEX('Tabela de Apoio'!$B:$B,MATCH('MAPA DE PREÇOS'!P58,'Tabela de Apoio'!$A:$A,1)-1))*P57))</f>
        <v>50.8</v>
      </c>
      <c r="Q61" s="106">
        <f>IF(Q57="","",
IF(OR(Q59="Orçamento",Q58="",MAX('Tabela de Apoio'!$A:$A)&lt;=Q58),
Q57,
(INDEX('Tabela de Apoio'!$B:$B,MATCH('MAPA DE PREÇOS'!$O$8,'Tabela de Apoio'!$A:$A,1))/INDEX('Tabela de Apoio'!$B:$B,MATCH('MAPA DE PREÇOS'!Q58,'Tabela de Apoio'!$A:$A,1)-1))*Q57))</f>
        <v>43.27</v>
      </c>
      <c r="R61" s="106">
        <f>IF(R57="","",
IF(OR(R59="Orçamento",R58="",MAX('Tabela de Apoio'!$A:$A)&lt;=R58),
R57,
(INDEX('Tabela de Apoio'!$B:$B,MATCH('MAPA DE PREÇOS'!$O$8,'Tabela de Apoio'!$A:$A,1))/INDEX('Tabela de Apoio'!$B:$B,MATCH('MAPA DE PREÇOS'!R58,'Tabela de Apoio'!$A:$A,1)-1))*R57))</f>
        <v>46.5</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3</v>
      </c>
      <c r="I63" s="132">
        <f t="shared" ref="I63" si="112">_xlfn.STDEV.P($P62:$XX63)/AVERAGE($P62:$XX63)</f>
        <v>6.5827082024944514E-2</v>
      </c>
      <c r="J63" s="7">
        <f>ROW()</f>
        <v>63</v>
      </c>
      <c r="K63" s="67"/>
      <c r="L63" s="29" t="s">
        <v>10</v>
      </c>
      <c r="M63" s="30">
        <f t="shared" ref="M63" si="113">IFERROR(
IF(COUNTA(P57:AI57)=COUNTIF(P59:XX59,"Orçamento"),MIN(M68,M65),
IF(M66&lt;&gt;"",M66,
IF(M67&lt;&gt;"",M67,
M65
))),"")</f>
        <v>46.5</v>
      </c>
      <c r="N63" s="71"/>
      <c r="O63" s="27" t="s">
        <v>376</v>
      </c>
      <c r="P63" s="106">
        <f t="shared" ref="P63:AI63" si="114">IFERROR(IF(P61="",
            "",
            IF(COUNT($P61:$XX61)&lt;=4,
               P61,
               IF(OR(P61&gt;(QUARTILE($P61:$XX61,3)+(QUARTILE($P61:$XX61,3)-QUARTILE($P61:$XX61,1))),
                     P61&lt;(QUARTILE($P61:$XX61,1)-(QUARTILE($P61:$XX61,3)-QUARTILE($P61:$XX61,1)))
                  ),
               "DESCARTADO",P61)
             )
  ),P61)</f>
        <v>50.8</v>
      </c>
      <c r="Q63" s="106">
        <f t="shared" si="114"/>
        <v>43.27</v>
      </c>
      <c r="R63" s="106">
        <f t="shared" si="114"/>
        <v>46.5</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46.856666666666662</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3</v>
      </c>
      <c r="I65" s="132">
        <f t="shared" ref="I65" si="120">_xlfn.STDEV.P($P64:$XX65)/AVERAGE($P64:$XX65)</f>
        <v>6.5827082024944514E-2</v>
      </c>
      <c r="J65" s="7">
        <f t="shared" ref="J65" si="121">IF(AND(H65&gt;2,
OR(L57="MÉDIA SANEADA",L57="MEDIANA SANEADA",
AND(L57="PREÇO ESTIMADO",NOT(AND(P59="Orçamento",COUNTA(P57:XX57)=COUNTIF(P59:XX59,"Orçamento")))))),
ROW(),0)</f>
        <v>0</v>
      </c>
      <c r="K65" s="66"/>
      <c r="L65" s="29" t="s">
        <v>361</v>
      </c>
      <c r="M65" s="30">
        <f t="shared" ref="M65" si="122">MEDIAN($P63:$XX63)</f>
        <v>46.5</v>
      </c>
      <c r="N65" s="71"/>
      <c r="O65" s="27" t="str">
        <f t="shared" ref="O65" si="123">"1 RODADA"</f>
        <v>1 RODADA</v>
      </c>
      <c r="P65" s="107">
        <f t="shared" ref="P65:AI65" si="124">IF(P63="","",IF((_xlfn.STDEV.P($P62:$XX63)/AVERAGE($P62:$XX63))&lt;=25%,P63,IF(OR(P63&gt;(AVERAGE($P62:$XX63)+_xlfn.STDEV.P($P62:$XX63)),P63&lt;(AVERAGE($P62:$XX63)-_xlfn.STDEV.P($P62:$XX63))),"DESCARTADO",P63)))</f>
        <v>50.8</v>
      </c>
      <c r="Q65" s="107">
        <f t="shared" si="124"/>
        <v>43.27</v>
      </c>
      <c r="R65" s="107">
        <f t="shared" si="124"/>
        <v>46.5</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46.856666666666662</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3</v>
      </c>
      <c r="I67" s="132">
        <f t="shared" ref="I67" si="128">_xlfn.STDEV.P($P66:$XX67)/AVERAGE($P66:$XX67)</f>
        <v>6.5827082024944514E-2</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46.5</v>
      </c>
      <c r="N67" s="71"/>
      <c r="O67" s="27" t="str">
        <f t="shared" ref="O67" si="131">"2 RODADA"</f>
        <v>2 RODADA</v>
      </c>
      <c r="P67" s="107">
        <f t="shared" ref="P67:AI67" si="132">IF(P65="","",IF((_xlfn.STDEV.P($P64:$XX65)/AVERAGE($P64:$XX65))&lt;=25%,P65,IF(OR(P65&gt;(AVERAGE($P64:$XX65)+_xlfn.STDEV.P($P64:$XX65)),P65&lt;(AVERAGE($P64:$XX65)-_xlfn.STDEV.P($P64:$XX65))),"DESCARTADO",P65)))</f>
        <v>50.8</v>
      </c>
      <c r="Q67" s="107">
        <f t="shared" si="132"/>
        <v>43.27</v>
      </c>
      <c r="R67" s="107">
        <f t="shared" si="132"/>
        <v>46.5</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46.655488863912282</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3</v>
      </c>
      <c r="I69" s="132">
        <f t="shared" ref="I69" si="136">_xlfn.STDEV.P($P68:$XX69)/AVERAGE($P68:$XX69)</f>
        <v>6.5827082024944514E-2</v>
      </c>
      <c r="J69" s="7">
        <f t="shared" ref="J69" si="137">IF(AND(H69&gt;2,
OR(L57="MÉDIA SANEADA",L57="MEDIANA SANEADA",
AND(L57="PREÇO ESTIMADO",NOT(AND(P59="Orçamento",COUNTA(P57:XX57)=COUNTIF(P59:XX59,"Orçamento")))))),
ROW(),0)</f>
        <v>0</v>
      </c>
      <c r="K69" s="66"/>
      <c r="L69" s="29" t="s">
        <v>41</v>
      </c>
      <c r="M69" s="30">
        <f t="shared" ref="M69" si="138">IFERROR(_xlfn.QUARTILE.EXC($P63:$XX63,1),"")</f>
        <v>43.27</v>
      </c>
      <c r="N69" s="71"/>
      <c r="O69" s="27" t="str">
        <f t="shared" ref="O69" si="139">"3 RODADA"</f>
        <v>3 RODADA</v>
      </c>
      <c r="P69" s="107">
        <f t="shared" ref="P69:AI69" si="140">IF(P67="","",IF((_xlfn.STDEV.P($P66:$XX67)/AVERAGE($P66:$XX67))&lt;=25%,P67,IF(OR(P67&gt;(AVERAGE($P66:$XX67)+_xlfn.STDEV.P($P66:$XX67)),P67&lt;(AVERAGE($P66:$XX67)-_xlfn.STDEV.P($P66:$XX67))),"DESCARTADO",P67)))</f>
        <v>50.8</v>
      </c>
      <c r="Q69" s="107">
        <f t="shared" si="140"/>
        <v>43.27</v>
      </c>
      <c r="R69" s="107">
        <f t="shared" si="140"/>
        <v>46.5</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50.8</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3</v>
      </c>
      <c r="I71" s="132">
        <f t="shared" ref="I71" si="144">_xlfn.STDEV.P($P70:$XX71)/AVERAGE($P70:$XX71)</f>
        <v>6.5827082024944514E-2</v>
      </c>
      <c r="J71" s="7">
        <f t="shared" ref="J71" si="145">IF(AND(H71&gt;2,
OR(L57="MÉDIA SANEADA",L57="MEDIANA SANEADA",
AND(L57="PREÇO ESTIMADO",NOT(AND(P59="Orçamento",COUNTA(P57:XX57)=COUNTIF(P59:XX59,"Orçamento")))))),
ROW(),0)</f>
        <v>0</v>
      </c>
      <c r="K71" s="66"/>
      <c r="L71" s="29" t="s">
        <v>42</v>
      </c>
      <c r="M71" s="30">
        <f t="shared" ref="M71" si="146">MIN($P63:$XX63)</f>
        <v>43.27</v>
      </c>
      <c r="N71" s="71"/>
      <c r="O71" s="27" t="str">
        <f t="shared" ref="O71" si="147">"4 RODADA"</f>
        <v>4 RODADA</v>
      </c>
      <c r="P71" s="107">
        <f t="shared" ref="P71:AI71" si="148">IF(P69="","",IF((_xlfn.STDEV.P($P68:$XX69)/AVERAGE($P68:$XX69))&lt;=25%,P69,IF(OR(P69&gt;(AVERAGE($P68:$XX69)+_xlfn.STDEV.P($P68:$XX69)),P69&lt;(AVERAGE($P68:$XX69)-_xlfn.STDEV.P($P68:$XX69))),"DESCARTADO",P69)))</f>
        <v>50.8</v>
      </c>
      <c r="Q71" s="107">
        <f t="shared" si="148"/>
        <v>43.27</v>
      </c>
      <c r="R71" s="107">
        <f t="shared" si="148"/>
        <v>46.5</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50.8</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3</v>
      </c>
      <c r="I73" s="132">
        <f t="shared" ref="I73" si="152">_xlfn.STDEV.P($P72:$XX73)/AVERAGE($P72:$XX73)</f>
        <v>6.5827082024944514E-2</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50.8</v>
      </c>
      <c r="Q73" s="107">
        <f t="shared" si="155"/>
        <v>43.27</v>
      </c>
      <c r="R73" s="107">
        <f t="shared" si="155"/>
        <v>46.5</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3</v>
      </c>
      <c r="I75" s="132">
        <f t="shared" ref="I75" si="158">_xlfn.STDEV.P($P74:$XX75)/AVERAGE($P74:$XX75)</f>
        <v>6.5827082024944514E-2</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50.8</v>
      </c>
      <c r="Q75" s="107">
        <f t="shared" si="161"/>
        <v>43.27</v>
      </c>
      <c r="R75" s="107">
        <f t="shared" si="161"/>
        <v>46.5</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13950</v>
      </c>
      <c r="O76" s="27" t="s">
        <v>363</v>
      </c>
      <c r="P76" s="107">
        <f t="shared" ref="P76:R76" si="163">INDEX(P63:P75,MATCH(MAX($J63:$J75),$J63:$J75,0))</f>
        <v>50.8</v>
      </c>
      <c r="Q76" s="107">
        <f t="shared" si="163"/>
        <v>43.27</v>
      </c>
      <c r="R76" s="107">
        <f t="shared" si="163"/>
        <v>46.5</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3" t="s">
        <v>10</v>
      </c>
      <c r="M78" s="185">
        <f t="shared" ref="M78" si="166">IF(OR(ISBLANK($O$8),ISBLANK($O$7),ISBLANK($H$8),ISBLANK($O$6),ISBLANK($O$5),ISBLANK($H$5)),"",IFERROR(IF(VLOOKUP(L78,L84:M93,2,FALSE)&lt;1,ROUND(VLOOKUP(L78,L84:M93,2,FALSE),4),ROUND(VLOOKUP(L78,L84:M93,2,FALSE),2)),""))</f>
        <v>14.97</v>
      </c>
      <c r="N78" s="69"/>
      <c r="O78" s="27" t="s">
        <v>17</v>
      </c>
      <c r="P78" s="113">
        <v>17</v>
      </c>
      <c r="Q78" s="113">
        <v>23.03</v>
      </c>
      <c r="R78" s="113">
        <v>12.94</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
        <v>441</v>
      </c>
      <c r="I79" s="192"/>
      <c r="J79" s="193"/>
      <c r="K79" s="66"/>
      <c r="L79" s="184"/>
      <c r="M79" s="186"/>
      <c r="N79" s="70"/>
      <c r="O79" s="27" t="s">
        <v>13</v>
      </c>
      <c r="P79" s="122">
        <v>46094</v>
      </c>
      <c r="Q79" s="122">
        <v>46094</v>
      </c>
      <c r="R79" s="122">
        <v>46091</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v>300</v>
      </c>
      <c r="N80" s="71"/>
      <c r="O80" s="27" t="s">
        <v>380</v>
      </c>
      <c r="P80" s="114" t="s">
        <v>377</v>
      </c>
      <c r="Q80" s="114" t="s">
        <v>377</v>
      </c>
      <c r="R80" s="114" t="s">
        <v>12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6">
        <f>INDEX('BASE FORMAÇÃO'!D:D,B82+1)</f>
        <v>0</v>
      </c>
      <c r="N81" s="71"/>
      <c r="O81" s="27" t="s">
        <v>381</v>
      </c>
      <c r="P81" s="115"/>
      <c r="Q81" s="115"/>
      <c r="R81" s="182" t="s">
        <v>437</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c r="I82" s="203"/>
      <c r="J82" s="203"/>
      <c r="K82" s="67"/>
      <c r="L82" s="28" t="s">
        <v>303</v>
      </c>
      <c r="M82" s="133">
        <f t="shared" ref="M82" si="173">IFERROR(INDEX(I84:I96,MATCH(MAX(J84:J96),J84:J96,0)),"")</f>
        <v>0.25066038533144008</v>
      </c>
      <c r="N82" s="71"/>
      <c r="O82" s="27" t="s">
        <v>18</v>
      </c>
      <c r="P82" s="106">
        <f>IF(P78="","",
IF(OR(P80="Orçamento",P79="",MAX('Tabela de Apoio'!$A:$A)&lt;=P79),
P78,
(INDEX('Tabela de Apoio'!$B:$B,MATCH('MAPA DE PREÇOS'!$O$8,'Tabela de Apoio'!$A:$A,1))/INDEX('Tabela de Apoio'!$B:$B,MATCH('MAPA DE PREÇOS'!P79,'Tabela de Apoio'!$A:$A,1)-1))*P78))</f>
        <v>17</v>
      </c>
      <c r="Q82" s="106">
        <f>IF(Q78="","",
IF(OR(Q80="Orçamento",Q79="",MAX('Tabela de Apoio'!$A:$A)&lt;=Q79),
Q78,
(INDEX('Tabela de Apoio'!$B:$B,MATCH('MAPA DE PREÇOS'!$O$8,'Tabela de Apoio'!$A:$A,1))/INDEX('Tabela de Apoio'!$B:$B,MATCH('MAPA DE PREÇOS'!Q79,'Tabela de Apoio'!$A:$A,1)-1))*Q78))</f>
        <v>23.03</v>
      </c>
      <c r="R82" s="106">
        <f>IF(R78="","",
IF(OR(R80="Orçamento",R79="",MAX('Tabela de Apoio'!$A:$A)&lt;=R79),
R78,
(INDEX('Tabela de Apoio'!$B:$B,MATCH('MAPA DE PREÇOS'!$O$8,'Tabela de Apoio'!$A:$A,1))/INDEX('Tabela de Apoio'!$B:$B,MATCH('MAPA DE PREÇOS'!R79,'Tabela de Apoio'!$A:$A,1)-1))*R78))</f>
        <v>12.94</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t="str">
        <f>IF(IFERROR(VLOOKUP(P80,'Tabela de Apoio'!$D:$E,2,FALSE),1)=1,"",P84)</f>
        <v/>
      </c>
      <c r="Q83" s="107" t="str">
        <f>IF(IFERROR(VLOOKUP(Q80,'Tabela de Apoio'!$D:$E,2,FALSE),1)=1,"",Q84)</f>
        <v/>
      </c>
      <c r="R83" s="107">
        <f>IF(IFERROR(VLOOKUP(R80,'Tabela de Apoio'!$D:$E,2,FALSE),1)=1,"",R84)</f>
        <v>12.94</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3</v>
      </c>
      <c r="I84" s="132">
        <f t="shared" ref="I84" si="178">_xlfn.STDEV.P($P83:$XX84)/AVERAGE($P83:$XX84)</f>
        <v>0.25066038533144008</v>
      </c>
      <c r="J84" s="7">
        <f>ROW()</f>
        <v>84</v>
      </c>
      <c r="K84" s="67"/>
      <c r="L84" s="29" t="s">
        <v>10</v>
      </c>
      <c r="M84" s="30">
        <f t="shared" ref="M84" si="179">IFERROR(
IF(COUNTA(P78:AI78)=COUNTIF(P80:XX80,"Orçamento"),MIN(M89,M86),
IF(M87&lt;&gt;"",M87,
IF(M88&lt;&gt;"",M88,
M86
))),"")</f>
        <v>14.969999999999999</v>
      </c>
      <c r="N84" s="71"/>
      <c r="O84" s="27" t="s">
        <v>376</v>
      </c>
      <c r="P84" s="106">
        <f t="shared" ref="P84:AI84" si="180">IFERROR(IF(P82="",
            "",
            IF(COUNT($P82:$XX82)&lt;=4,
               P82,
               IF(OR(P82&gt;(QUARTILE($P82:$XX82,3)+(QUARTILE($P82:$XX82,3)-QUARTILE($P82:$XX82,1))),
                     P82&lt;(QUARTILE($P82:$XX82,1)-(QUARTILE($P82:$XX82,3)-QUARTILE($P82:$XX82,1)))
                  ),
               "DESCARTADO",P82)
             )
  ),P82)</f>
        <v>17</v>
      </c>
      <c r="Q84" s="106">
        <f t="shared" si="180"/>
        <v>23.03</v>
      </c>
      <c r="R84" s="106">
        <f t="shared" si="180"/>
        <v>12.94</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17.656666666666666</v>
      </c>
      <c r="N85" s="71"/>
      <c r="O85" s="27" t="str">
        <f t="shared" ref="O85" si="184">"1 POND"</f>
        <v>1 POND</v>
      </c>
      <c r="P85" s="107" t="str">
        <f>IF(IFERROR(VLOOKUP(P80,'Tabela de Apoio'!$D:$E,2,FALSE),1)=1,"",P86)</f>
        <v/>
      </c>
      <c r="Q85" s="107" t="str">
        <f>IF(IFERROR(VLOOKUP(Q80,'Tabela de Apoio'!$D:$E,2,FALSE),1)=1,"",Q86)</f>
        <v/>
      </c>
      <c r="R85" s="107">
        <f>IF(IFERROR(VLOOKUP(R80,'Tabela de Apoio'!$D:$E,2,FALSE),1)=1,"",R86)</f>
        <v>12.94</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2</v>
      </c>
      <c r="I86" s="132">
        <f t="shared" ref="I86" si="186">_xlfn.STDEV.P($P85:$XX86)/AVERAGE($P85:$XX86)</f>
        <v>0.13390175054185566</v>
      </c>
      <c r="J86" s="7">
        <f t="shared" ref="J86" si="187">IF(AND(H86&gt;2,
OR(L78="MÉDIA SANEADA",L78="MEDIANA SANEADA",
AND(L78="PREÇO ESTIMADO",NOT(AND(P80="Orçamento",COUNTA(P78:XX78)=COUNTIF(P80:XX80,"Orçamento")))))),
ROW(),0)</f>
        <v>0</v>
      </c>
      <c r="K86" s="66"/>
      <c r="L86" s="29" t="s">
        <v>361</v>
      </c>
      <c r="M86" s="30">
        <f t="shared" ref="M86" si="188">MEDIAN($P84:$XX84)</f>
        <v>17</v>
      </c>
      <c r="N86" s="71"/>
      <c r="O86" s="27" t="str">
        <f t="shared" ref="O86" si="189">"1 RODADA"</f>
        <v>1 RODADA</v>
      </c>
      <c r="P86" s="107">
        <f t="shared" ref="P86:AI86" si="190">IF(P84="","",IF((_xlfn.STDEV.P($P83:$XX84)/AVERAGE($P83:$XX84))&lt;=25%,P84,IF(OR(P84&gt;(AVERAGE($P83:$XX84)+_xlfn.STDEV.P($P83:$XX84)),P84&lt;(AVERAGE($P83:$XX84)-_xlfn.STDEV.P($P83:$XX84))),"DESCARTADO",P84)))</f>
        <v>17</v>
      </c>
      <c r="Q86" s="107" t="str">
        <f t="shared" si="190"/>
        <v>DESCARTADO</v>
      </c>
      <c r="R86" s="107">
        <f t="shared" si="190"/>
        <v>12.94</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f>IF(IFERROR(VLOOKUP(R80,'Tabela de Apoio'!$D:$E,2,FALSE),1)=1,"",R88)</f>
        <v>12.94</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2</v>
      </c>
      <c r="I88" s="132">
        <f t="shared" ref="I88" si="194">_xlfn.STDEV.P($P87:$XX88)/AVERAGE($P87:$XX88)</f>
        <v>0.13390175054185566</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14.969999999999999</v>
      </c>
      <c r="N88" s="71"/>
      <c r="O88" s="27" t="str">
        <f t="shared" ref="O88" si="197">"2 RODADA"</f>
        <v>2 RODADA</v>
      </c>
      <c r="P88" s="107">
        <f t="shared" ref="P88:AI88" si="198">IF(P86="","",IF((_xlfn.STDEV.P($P85:$XX86)/AVERAGE($P85:$XX86))&lt;=25%,P86,IF(OR(P86&gt;(AVERAGE($P85:$XX86)+_xlfn.STDEV.P($P85:$XX86)),P86&lt;(AVERAGE($P85:$XX86)-_xlfn.STDEV.P($P85:$XX86))),"DESCARTADO",P86)))</f>
        <v>17</v>
      </c>
      <c r="Q88" s="107" t="str">
        <f t="shared" si="198"/>
        <v>DESCARTADO</v>
      </c>
      <c r="R88" s="107">
        <f t="shared" si="198"/>
        <v>12.94</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15.576041411576036</v>
      </c>
      <c r="N89" s="71"/>
      <c r="O89" s="27" t="str">
        <f t="shared" ref="O89" si="200">"3 POND"</f>
        <v>3 POND</v>
      </c>
      <c r="P89" s="107" t="str">
        <f>IF(IFERROR(VLOOKUP(P80,'Tabela de Apoio'!$D:$E,2,FALSE),1)=1,"",P90)</f>
        <v/>
      </c>
      <c r="Q89" s="107" t="str">
        <f>IF(IFERROR(VLOOKUP(Q80,'Tabela de Apoio'!$D:$E,2,FALSE),1)=1,"",Q90)</f>
        <v/>
      </c>
      <c r="R89" s="107">
        <f>IF(IFERROR(VLOOKUP(R80,'Tabela de Apoio'!$D:$E,2,FALSE),1)=1,"",R90)</f>
        <v>12.94</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2</v>
      </c>
      <c r="I90" s="132">
        <f t="shared" ref="I90" si="202">_xlfn.STDEV.P($P89:$XX90)/AVERAGE($P89:$XX90)</f>
        <v>0.13390175054185566</v>
      </c>
      <c r="J90" s="7">
        <f t="shared" ref="J90" si="203">IF(AND(H90&gt;2,
OR(L78="MÉDIA SANEADA",L78="MEDIANA SANEADA",
AND(L78="PREÇO ESTIMADO",NOT(AND(P80="Orçamento",COUNTA(P78:XX78)=COUNTIF(P80:XX80,"Orçamento")))))),
ROW(),0)</f>
        <v>0</v>
      </c>
      <c r="K90" s="66"/>
      <c r="L90" s="29" t="s">
        <v>41</v>
      </c>
      <c r="M90" s="30">
        <f t="shared" ref="M90" si="204">IFERROR(_xlfn.QUARTILE.EXC($P84:$XX84,1),"")</f>
        <v>12.94</v>
      </c>
      <c r="N90" s="71"/>
      <c r="O90" s="27" t="str">
        <f t="shared" ref="O90" si="205">"3 RODADA"</f>
        <v>3 RODADA</v>
      </c>
      <c r="P90" s="107">
        <f t="shared" ref="P90:AI90" si="206">IF(P88="","",IF((_xlfn.STDEV.P($P87:$XX88)/AVERAGE($P87:$XX88))&lt;=25%,P88,IF(OR(P88&gt;(AVERAGE($P87:$XX88)+_xlfn.STDEV.P($P87:$XX88)),P88&lt;(AVERAGE($P87:$XX88)-_xlfn.STDEV.P($P87:$XX88))),"DESCARTADO",P88)))</f>
        <v>17</v>
      </c>
      <c r="Q90" s="107" t="str">
        <f t="shared" si="206"/>
        <v>DESCARTADO</v>
      </c>
      <c r="R90" s="107">
        <f t="shared" si="206"/>
        <v>12.94</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f t="shared" ref="M91" si="207">IFERROR(_xlfn.QUARTILE.EXC($P84:$XX84,3),"")</f>
        <v>23.03</v>
      </c>
      <c r="N91" s="71"/>
      <c r="O91" s="27" t="str">
        <f t="shared" ref="O91" si="208">"4 POND"</f>
        <v>4 POND</v>
      </c>
      <c r="P91" s="107" t="str">
        <f>IF(IFERROR(VLOOKUP(P80,'Tabela de Apoio'!$D:$E,2,FALSE),1)=1,"",P92)</f>
        <v/>
      </c>
      <c r="Q91" s="107" t="str">
        <f>IF(IFERROR(VLOOKUP(Q80,'Tabela de Apoio'!$D:$E,2,FALSE),1)=1,"",Q92)</f>
        <v/>
      </c>
      <c r="R91" s="107">
        <f>IF(IFERROR(VLOOKUP(R80,'Tabela de Apoio'!$D:$E,2,FALSE),1)=1,"",R92)</f>
        <v>12.94</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2</v>
      </c>
      <c r="I92" s="132">
        <f t="shared" ref="I92" si="210">_xlfn.STDEV.P($P91:$XX92)/AVERAGE($P91:$XX92)</f>
        <v>0.13390175054185566</v>
      </c>
      <c r="J92" s="7">
        <f t="shared" ref="J92" si="211">IF(AND(H92&gt;2,
OR(L78="MÉDIA SANEADA",L78="MEDIANA SANEADA",
AND(L78="PREÇO ESTIMADO",NOT(AND(P80="Orçamento",COUNTA(P78:XX78)=COUNTIF(P80:XX80,"Orçamento")))))),
ROW(),0)</f>
        <v>0</v>
      </c>
      <c r="K92" s="66"/>
      <c r="L92" s="29" t="s">
        <v>42</v>
      </c>
      <c r="M92" s="30">
        <f t="shared" ref="M92" si="212">MIN($P84:$XX84)</f>
        <v>12.94</v>
      </c>
      <c r="N92" s="71"/>
      <c r="O92" s="27" t="str">
        <f t="shared" ref="O92" si="213">"4 RODADA"</f>
        <v>4 RODADA</v>
      </c>
      <c r="P92" s="107">
        <f t="shared" ref="P92:AI92" si="214">IF(P90="","",IF((_xlfn.STDEV.P($P89:$XX90)/AVERAGE($P89:$XX90))&lt;=25%,P90,IF(OR(P90&gt;(AVERAGE($P89:$XX90)+_xlfn.STDEV.P($P89:$XX90)),P90&lt;(AVERAGE($P89:$XX90)-_xlfn.STDEV.P($P89:$XX90))),"DESCARTADO",P90)))</f>
        <v>17</v>
      </c>
      <c r="Q92" s="107" t="str">
        <f t="shared" si="214"/>
        <v>DESCARTADO</v>
      </c>
      <c r="R92" s="107">
        <f t="shared" si="214"/>
        <v>12.94</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23.03</v>
      </c>
      <c r="N93" s="71"/>
      <c r="O93" s="27" t="str">
        <f t="shared" ref="O93" si="216">"5 POND"</f>
        <v>5 POND</v>
      </c>
      <c r="P93" s="107" t="str">
        <f>IF(IFERROR(VLOOKUP(P80,'Tabela de Apoio'!$D:$E,2,FALSE),1)=1,"",P94)</f>
        <v/>
      </c>
      <c r="Q93" s="107" t="str">
        <f>IF(IFERROR(VLOOKUP(Q80,'Tabela de Apoio'!$D:$E,2,FALSE),1)=1,"",Q94)</f>
        <v/>
      </c>
      <c r="R93" s="107">
        <f>IF(IFERROR(VLOOKUP(R80,'Tabela de Apoio'!$D:$E,2,FALSE),1)=1,"",R94)</f>
        <v>12.94</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2</v>
      </c>
      <c r="I94" s="132">
        <f t="shared" ref="I94" si="218">_xlfn.STDEV.P($P93:$XX94)/AVERAGE($P93:$XX94)</f>
        <v>0.13390175054185566</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17</v>
      </c>
      <c r="Q94" s="107" t="str">
        <f t="shared" si="221"/>
        <v>DESCARTADO</v>
      </c>
      <c r="R94" s="107">
        <f t="shared" si="221"/>
        <v>12.94</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f>IF(IFERROR(VLOOKUP(R80,'Tabela de Apoio'!$D:$E,2,FALSE),1)=1,"",R96)</f>
        <v>12.94</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2</v>
      </c>
      <c r="I96" s="132">
        <f t="shared" ref="I96" si="224">_xlfn.STDEV.P($P95:$XX96)/AVERAGE($P95:$XX96)</f>
        <v>0.13390175054185566</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17</v>
      </c>
      <c r="Q96" s="107" t="str">
        <f t="shared" si="227"/>
        <v>DESCARTADO</v>
      </c>
      <c r="R96" s="107">
        <f t="shared" si="227"/>
        <v>12.94</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4491</v>
      </c>
      <c r="O97" s="27" t="s">
        <v>363</v>
      </c>
      <c r="P97" s="107">
        <f t="shared" ref="P97:AI118" si="229">INDEX(P84:P96,MATCH(MAX($J84:$J96),$J84:$J96,0))</f>
        <v>17</v>
      </c>
      <c r="Q97" s="107">
        <f t="shared" si="229"/>
        <v>23.03</v>
      </c>
      <c r="R97" s="107">
        <f t="shared" si="229"/>
        <v>12.94</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3" t="s">
        <v>10</v>
      </c>
      <c r="M99" s="185"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7">
        <f t="shared" ref="E100" si="234">D99</f>
        <v>1</v>
      </c>
      <c r="F100" s="92"/>
      <c r="G100" s="189" t="s">
        <v>1</v>
      </c>
      <c r="H100" s="192" t="e">
        <f>INDEX('BASE FORMAÇÃO'!C:C,B99+1)</f>
        <v>#VALUE!</v>
      </c>
      <c r="I100" s="192"/>
      <c r="J100" s="193"/>
      <c r="K100" s="66"/>
      <c r="L100" s="184"/>
      <c r="M100" s="186"/>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8"/>
      <c r="F101" s="93"/>
      <c r="G101" s="190"/>
      <c r="H101" s="194"/>
      <c r="I101" s="194"/>
      <c r="J101" s="195"/>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1"/>
      <c r="H102" s="196"/>
      <c r="I102" s="196"/>
      <c r="J102" s="197"/>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8" t="e">
        <f t="shared" ref="E103" si="238">C99</f>
        <v>#VALUE!</v>
      </c>
      <c r="F103" s="93"/>
      <c r="G103" s="200" t="s">
        <v>304</v>
      </c>
      <c r="H103" s="202"/>
      <c r="I103" s="203"/>
      <c r="J103" s="203"/>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9"/>
      <c r="F105" s="93"/>
      <c r="G105" s="201"/>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9"/>
      <c r="F106" s="93"/>
      <c r="G106" s="201"/>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9"/>
      <c r="F107" s="93"/>
      <c r="G107" s="201"/>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9"/>
      <c r="F109" s="93"/>
      <c r="G109" s="201"/>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9"/>
      <c r="F110" s="93"/>
      <c r="G110" s="201"/>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9"/>
      <c r="F111" s="93"/>
      <c r="G111" s="201"/>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9"/>
      <c r="F112" s="93"/>
      <c r="G112" s="201"/>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9"/>
      <c r="F113" s="93"/>
      <c r="G113" s="201"/>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9"/>
      <c r="F114" s="93"/>
      <c r="G114" s="201"/>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9"/>
      <c r="F115" s="93"/>
      <c r="G115" s="201"/>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9"/>
      <c r="F117" s="93"/>
      <c r="G117" s="201"/>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9"/>
      <c r="F118" s="136"/>
      <c r="G118" s="201"/>
      <c r="H118" s="204"/>
      <c r="I118" s="204"/>
      <c r="J118" s="205"/>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3" t="s">
        <v>10</v>
      </c>
      <c r="M120" s="185"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7">
        <f t="shared" ref="E121" si="300">D120</f>
        <v>1</v>
      </c>
      <c r="F121" s="92"/>
      <c r="G121" s="189" t="s">
        <v>1</v>
      </c>
      <c r="H121" s="192" t="e">
        <f>INDEX('BASE FORMAÇÃO'!C:C,B120+1)</f>
        <v>#VALUE!</v>
      </c>
      <c r="I121" s="192"/>
      <c r="J121" s="193"/>
      <c r="K121" s="66"/>
      <c r="L121" s="184"/>
      <c r="M121" s="186"/>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8"/>
      <c r="F122" s="93"/>
      <c r="G122" s="190"/>
      <c r="H122" s="194"/>
      <c r="I122" s="194"/>
      <c r="J122" s="195"/>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1"/>
      <c r="H123" s="196"/>
      <c r="I123" s="196"/>
      <c r="J123" s="197"/>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8" t="e">
        <f t="shared" ref="E124" si="304">C120</f>
        <v>#VALUE!</v>
      </c>
      <c r="F124" s="93"/>
      <c r="G124" s="200" t="s">
        <v>304</v>
      </c>
      <c r="H124" s="202"/>
      <c r="I124" s="203"/>
      <c r="J124" s="203"/>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9"/>
      <c r="F126" s="93"/>
      <c r="G126" s="201"/>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9"/>
      <c r="F127" s="93"/>
      <c r="G127" s="201"/>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9"/>
      <c r="F128" s="93"/>
      <c r="G128" s="201"/>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9"/>
      <c r="F129" s="93"/>
      <c r="G129" s="201"/>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9"/>
      <c r="F130" s="93"/>
      <c r="G130" s="201"/>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9"/>
      <c r="F131" s="93"/>
      <c r="G131" s="201"/>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9"/>
      <c r="F132" s="93"/>
      <c r="G132" s="201"/>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9"/>
      <c r="F133" s="93"/>
      <c r="G133" s="201"/>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9"/>
      <c r="F134" s="93"/>
      <c r="G134" s="201"/>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9"/>
      <c r="F135" s="93"/>
      <c r="G135" s="201"/>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9"/>
      <c r="F136" s="93"/>
      <c r="G136" s="201"/>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9"/>
      <c r="F138" s="93"/>
      <c r="G138" s="201"/>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9"/>
      <c r="F139" s="136"/>
      <c r="G139" s="201"/>
      <c r="H139" s="204"/>
      <c r="I139" s="204"/>
      <c r="J139" s="205"/>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3" t="s">
        <v>10</v>
      </c>
      <c r="M141" s="185"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7">
        <f t="shared" ref="E142" si="366">D141</f>
        <v>1</v>
      </c>
      <c r="F142" s="92"/>
      <c r="G142" s="189" t="s">
        <v>1</v>
      </c>
      <c r="H142" s="192" t="e">
        <f>INDEX('BASE FORMAÇÃO'!C:C,B141+1)</f>
        <v>#VALUE!</v>
      </c>
      <c r="I142" s="192"/>
      <c r="J142" s="193"/>
      <c r="K142" s="66"/>
      <c r="L142" s="184"/>
      <c r="M142" s="186"/>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8"/>
      <c r="F143" s="93"/>
      <c r="G143" s="190"/>
      <c r="H143" s="194"/>
      <c r="I143" s="194"/>
      <c r="J143" s="195"/>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1"/>
      <c r="H144" s="196"/>
      <c r="I144" s="196"/>
      <c r="J144" s="197"/>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8" t="e">
        <f t="shared" ref="E145" si="370">C141</f>
        <v>#VALUE!</v>
      </c>
      <c r="F145" s="93"/>
      <c r="G145" s="200" t="s">
        <v>304</v>
      </c>
      <c r="H145" s="202"/>
      <c r="I145" s="203"/>
      <c r="J145" s="203"/>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9"/>
      <c r="F147" s="93"/>
      <c r="G147" s="201"/>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9"/>
      <c r="F148" s="93"/>
      <c r="G148" s="201"/>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9"/>
      <c r="F149" s="93"/>
      <c r="G149" s="201"/>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9"/>
      <c r="F151" s="93"/>
      <c r="G151" s="201"/>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9"/>
      <c r="F152" s="93"/>
      <c r="G152" s="201"/>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9"/>
      <c r="F153" s="93"/>
      <c r="G153" s="201"/>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9"/>
      <c r="F154" s="93"/>
      <c r="G154" s="201"/>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9"/>
      <c r="F155" s="93"/>
      <c r="G155" s="201"/>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9"/>
      <c r="F156" s="93"/>
      <c r="G156" s="201"/>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9"/>
      <c r="F157" s="93"/>
      <c r="G157" s="201"/>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9"/>
      <c r="F159" s="93"/>
      <c r="G159" s="201"/>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9"/>
      <c r="F160" s="136"/>
      <c r="G160" s="201"/>
      <c r="H160" s="204"/>
      <c r="I160" s="204"/>
      <c r="J160" s="205"/>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2" t="e">
        <f>INDEX('BASE FORMAÇÃO'!C:C,B162+1)</f>
        <v>#VALUE!</v>
      </c>
      <c r="I163" s="192"/>
      <c r="J163" s="193"/>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4"/>
      <c r="I164" s="194"/>
      <c r="J164" s="195"/>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6"/>
      <c r="I165" s="196"/>
      <c r="J165" s="197"/>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8" t="e">
        <f t="shared" ref="E166" si="436">C162</f>
        <v>#VALUE!</v>
      </c>
      <c r="F166" s="93"/>
      <c r="G166" s="200" t="s">
        <v>304</v>
      </c>
      <c r="H166" s="202"/>
      <c r="I166" s="203"/>
      <c r="J166" s="203"/>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9"/>
      <c r="F168" s="93"/>
      <c r="G168" s="201"/>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9"/>
      <c r="F169" s="93"/>
      <c r="G169" s="201"/>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9"/>
      <c r="F170" s="93"/>
      <c r="G170" s="201"/>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9"/>
      <c r="F172" s="93"/>
      <c r="G172" s="201"/>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9"/>
      <c r="F173" s="93"/>
      <c r="G173" s="201"/>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9"/>
      <c r="F174" s="93"/>
      <c r="G174" s="201"/>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9"/>
      <c r="F176" s="93"/>
      <c r="G176" s="201"/>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9"/>
      <c r="F177" s="93"/>
      <c r="G177" s="201"/>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9"/>
      <c r="F178" s="93"/>
      <c r="G178" s="201"/>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9"/>
      <c r="F180" s="93"/>
      <c r="G180" s="201"/>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9"/>
      <c r="F181" s="136"/>
      <c r="G181" s="201"/>
      <c r="H181" s="204"/>
      <c r="I181" s="204"/>
      <c r="J181" s="205"/>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8" t="e">
        <f t="shared" ref="E187" si="502">C183</f>
        <v>#VALUE!</v>
      </c>
      <c r="F187" s="93"/>
      <c r="G187" s="200" t="s">
        <v>304</v>
      </c>
      <c r="H187" s="202"/>
      <c r="I187" s="203"/>
      <c r="J187" s="203"/>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9"/>
      <c r="F189" s="93"/>
      <c r="G189" s="201"/>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9"/>
      <c r="F190" s="93"/>
      <c r="G190" s="201"/>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9"/>
      <c r="F191" s="93"/>
      <c r="G191" s="201"/>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9"/>
      <c r="F192" s="93"/>
      <c r="G192" s="201"/>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9"/>
      <c r="F193" s="93"/>
      <c r="G193" s="201"/>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9"/>
      <c r="F194" s="93"/>
      <c r="G194" s="201"/>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9"/>
      <c r="F195" s="93"/>
      <c r="G195" s="201"/>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9"/>
      <c r="F197" s="93"/>
      <c r="G197" s="201"/>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9"/>
      <c r="F198" s="93"/>
      <c r="G198" s="201"/>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9"/>
      <c r="F199" s="93"/>
      <c r="G199" s="201"/>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9"/>
      <c r="F201" s="93"/>
      <c r="G201" s="201"/>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9"/>
      <c r="F202" s="136"/>
      <c r="G202" s="201"/>
      <c r="H202" s="204"/>
      <c r="I202" s="204"/>
      <c r="J202" s="205"/>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7:D34 F17:XFD34 A38:D55 F38:XFD55 A59:D76 F59:XFD76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A10:XFD16 A36:XFD37 A57:XFD58 A78:XFD79">
    <cfRule type="containsText" dxfId="24" priority="6" operator="containsText" text="DESCARTADO">
      <formula>NOT(ISERROR(SEARCH("DESCARTADO",A1)))</formula>
    </cfRule>
  </conditionalFormatting>
  <conditionalFormatting sqref="A1:XFD3 Y4:XFD9 F17:XFD34 F38:XFD55 F59:XFD76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A10:XFD16 A36:XFD37 A57:XFD58 A78:XFD79">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R18" r:id="rId1" xr:uid="{6AED1A07-CBC7-480A-BA02-602D6A467D37}"/>
    <hyperlink ref="R39" r:id="rId2" xr:uid="{277786CF-1F56-4042-AE63-038B9E539F55}"/>
    <hyperlink ref="R60" r:id="rId3" xr:uid="{98CD6D80-336F-41FA-B16A-62DAFDFBE6FC}"/>
    <hyperlink ref="R81" r:id="rId4" xr:uid="{AE8FA266-92D6-46B1-AB6F-C6DDDA667361}"/>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5"/>
  <headerFooter alignWithMargins="0"/>
  <drawing r:id="rId6"/>
  <legacyDrawing r:id="rId7"/>
  <mc:AlternateContent xmlns:mc="http://schemas.openxmlformats.org/markup-compatibility/2006">
    <mc:Choice Requires="x14">
      <controls>
        <mc:AlternateContent xmlns:mc="http://schemas.openxmlformats.org/markup-compatibility/2006">
          <mc:Choice Requires="x14">
            <control shapeId="3074" r:id="rId8"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J8" sqref="J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SMPG</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Sacola de pano personalizada</v>
      </c>
      <c r="H8" s="84">
        <f>IF($B7="","",IF($C8=$C5,INDEX('MAPA DE PREÇOS'!$M:$M,MATCH($B8,'MAPA DE PREÇOS'!$B:$B)-16),IF($C8=$C6,"Unidade","")))</f>
        <v>0</v>
      </c>
      <c r="I8" s="84">
        <f>IF($B7="","",IF($C8=$C5,INDEX('MAPA DE PREÇOS'!$M:$M,MATCH($B8,'MAPA DE PREÇOS'!$B:$B)-17),IF($C8=$C6,"Quant.","")))</f>
        <v>300</v>
      </c>
      <c r="J8" s="60">
        <f>IF(AND(COUNTBLANK($B5:$B7)=2,$B7="",$B6="",MAX(C:C)&gt;1),"Total Estimado",IF($B7="","",IF($C8=$C5,INDEX('MAPA DE PREÇOS'!$M:$M,MATCH($B8,'MAPA DE PREÇOS'!$B:$B)-19),IF($C8=$C6,"Valor Unit. (R$)",IF(AND($C8&lt;&gt;$C7,$J7&lt;&gt;""),IF(MAX(C:C)=1,"Total Estimado","Subtotal"),"")))))</f>
        <v>12.19</v>
      </c>
      <c r="K8" s="75">
        <f>IFERROR(IF(AND(COUNTBLANK($B5:$B7)=2,$B7="",$B6="",MAX($C:$C)&gt;1),SUM($K$3:K7)/2,IF($B7="","",IF($C8=$C5,ROUND(J8*I8,2),IF($C8=$C6,"Total Item (R$)",IF(AND($C8&lt;&gt;$C7,$J7&lt;&gt;""),SUMIFS(K:K,$C:$C,C7,J:J,"&lt;&gt;Subtotal"),""))))),"")</f>
        <v>3657</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Caneta personalizada metálica</v>
      </c>
      <c r="H9" s="84">
        <f>IF($B8="","",IF($C9=$C6,INDEX('MAPA DE PREÇOS'!$M:$M,MATCH($B9,'MAPA DE PREÇOS'!$B:$B)-16),IF($C9=$C7,"Unidade","")))</f>
        <v>0</v>
      </c>
      <c r="I9" s="84">
        <f>IF($B8="","",IF($C9=$C6,INDEX('MAPA DE PREÇOS'!$M:$M,MATCH($B9,'MAPA DE PREÇOS'!$B:$B)-17),IF($C9=$C7,"Quant.","")))</f>
        <v>300</v>
      </c>
      <c r="J9" s="60">
        <f>IF(AND(COUNTBLANK($B6:$B8)=2,$B8="",$B7="",MAX(C:C)&gt;1),"Total Estimado",IF($B8="","",IF($C9=$C6,INDEX('MAPA DE PREÇOS'!$M:$M,MATCH($B9,'MAPA DE PREÇOS'!$B:$B)-19),IF($C9=$C7,"Valor Unit. (R$)",IF(AND($C9&lt;&gt;$C8,$J8&lt;&gt;""),IF(MAX(C:C)=1,"Total Estimado","Subtotal"),"")))))</f>
        <v>3.36</v>
      </c>
      <c r="K9" s="75">
        <f>IFERROR(IF(AND(COUNTBLANK($B6:$B8)=2,$B8="",$B7="",MAX(C:C)&gt;1),SUM($K$3:K8)/2,IF($B8="","",IF($C9=$C6,ROUND(J9*I9,2),IF($C9=$C7,"Total Item (R$)",IF(AND($C9&lt;&gt;$C8,$J8&lt;&gt;""),SUMIFS(K:K,C:C,C8,J:J,"&lt;&gt;Subtotal"),""))))),"")</f>
        <v>1008</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Camiseta personalizada</v>
      </c>
      <c r="H10" s="84">
        <f>IF($B9="","",IF($C10=$C7,INDEX('MAPA DE PREÇOS'!$M:$M,MATCH($B10,'MAPA DE PREÇOS'!$B:$B)-16),IF($C10=$C8,"Unidade","")))</f>
        <v>0</v>
      </c>
      <c r="I10" s="84">
        <f>IF($B9="","",IF($C10=$C7,INDEX('MAPA DE PREÇOS'!$M:$M,MATCH($B10,'MAPA DE PREÇOS'!$B:$B)-17),IF($C10=$C8,"Quant.","")))</f>
        <v>300</v>
      </c>
      <c r="J10" s="60">
        <f>IF(AND(COUNTBLANK($B7:$B9)=2,$B9="",$B8="",MAX(C:C)&gt;1),"Total Estimado",IF($B9="","",IF($C10=$C7,INDEX('MAPA DE PREÇOS'!$M:$M,MATCH($B10,'MAPA DE PREÇOS'!$B:$B)-19),IF($C10=$C8,"Valor Unit. (R$)",IF(AND($C10&lt;&gt;$C9,$J9&lt;&gt;""),IF(MAX(C:C)=1,"Total Estimado","Subtotal"),"")))))</f>
        <v>46.5</v>
      </c>
      <c r="K10" s="75">
        <f>IFERROR(IF(AND(COUNTBLANK($B7:$B9)=2,$B9="",$B8="",MAX(C:C)&gt;1),SUM($K$3:K9)/2,IF($B9="","",IF($C10=$C7,ROUND(J10*I10,2),IF($C10=$C8,"Total Item (R$)",IF(AND($C10&lt;&gt;$C9,$J9&lt;&gt;""),SUMIFS(K:K,C:C,C9,J:J,"&lt;&gt;Subtotal"),""))))),"")</f>
        <v>13950</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Moleskini personalizado</v>
      </c>
      <c r="H11" s="84">
        <f>IF($B10="","",IF($C11=$C8,INDEX('MAPA DE PREÇOS'!$M:$M,MATCH($B11,'MAPA DE PREÇOS'!$B:$B)-16),IF($C11=$C9,"Unidade","")))</f>
        <v>0</v>
      </c>
      <c r="I11" s="84">
        <f>IF($B10="","",IF($C11=$C8,INDEX('MAPA DE PREÇOS'!$M:$M,MATCH($B11,'MAPA DE PREÇOS'!$B:$B)-17),IF($C11=$C9,"Quant.","")))</f>
        <v>300</v>
      </c>
      <c r="J11" s="60">
        <f>IF(AND(COUNTBLANK($B8:$B10)=2,$B10="",$B9="",MAX(C:C)&gt;1),"Total Estimado",IF($B10="","",IF($C11=$C8,INDEX('MAPA DE PREÇOS'!$M:$M,MATCH($B11,'MAPA DE PREÇOS'!$B:$B)-19),IF($C11=$C9,"Valor Unit. (R$)",IF(AND($C11&lt;&gt;$C10,$J10&lt;&gt;""),IF(MAX(C:C)=1,"Total Estimado","Subtotal"),"")))))</f>
        <v>14.97</v>
      </c>
      <c r="K11" s="75">
        <f>IFERROR(IF(AND(COUNTBLANK($B8:$B10)=2,$B10="",$B9="",MAX(C:C)&gt;1),SUM($K$3:K10)/2,IF($B10="","",IF($C11=$C8,ROUND(J11*I11,2),IF($C11=$C9,"Total Item (R$)",IF(AND($C11&lt;&gt;$C10,$J10&lt;&gt;""),SUMIFS(K:K,C:C,C10,J:J,"&lt;&gt;Subtotal"),""))))),"")</f>
        <v>4491</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Total Estimado</v>
      </c>
      <c r="K12" s="75">
        <f>IFERROR(IF(AND(COUNTBLANK($B9:$B11)=2,$B11="",$B10="",MAX(C:C)&gt;1),SUM($K$3:K11)/2,IF($B11="","",IF($C12=$C9,ROUND(J12*I12,2),IF($C12=$C10,"Total Item (R$)",IF(AND($C12&lt;&gt;$C11,$J11&lt;&gt;""),SUMIFS(K:K,C:C,C11,J:J,"&lt;&gt;Subtotal"),""))))),"")</f>
        <v>23106</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SMPG</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Sacola de pano personalizada</v>
      </c>
      <c r="H8" s="84">
        <f>IF($B7="","",IF($C8=$C5,INDEX('MAPA DE PREÇOS'!$M:$M,MATCH($B8,'MAPA DE PREÇOS'!$B:$B)-16),IF($C8=$C6,"Unidade","")))</f>
        <v>0</v>
      </c>
      <c r="I8" s="84">
        <f>IF($B7="","",IF($C8=$C5,INDEX('MAPA DE PREÇOS'!$M:$M,MATCH($B8,'MAPA DE PREÇOS'!$B:$B)-17),IF($C8=$C6,"Quant.","")))</f>
        <v>300</v>
      </c>
      <c r="J8" s="60">
        <f>IF(J7="Total Mensal","Total Acumulado",IF($B7="","",IF($C8=$C5,INDEX('MAPA DE PREÇOS'!$M:$M,MATCH($B8,'MAPA DE PREÇOS'!$B:$B)-19),IF($C8=$C6,"Valor Unit. (R$)",IF(AND($C8&lt;&gt;$C7,$J7&lt;&gt;""),"Total Mensal","")))))</f>
        <v>12.19</v>
      </c>
      <c r="K8" s="75">
        <f>IF(J8="","",IF(J8="Total Mensal","-",IF(J8="Total Acumulado",SUM(K$7:K7),I8*J8)))</f>
        <v>3657</v>
      </c>
      <c r="L8" s="112">
        <f>IF(J8="","",IF(J8="Total Mensal","-",IF(J8="Total Acumulado",SUM(L$7:L7),K8/SUMIF(J:J,"Total Acumulado",K:K))))</f>
        <v>0.15827057907037134</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Caneta personalizada metálica</v>
      </c>
      <c r="H9" s="84">
        <f>IF($B8="","",IF($C9=$C6,INDEX('MAPA DE PREÇOS'!$M:$M,MATCH($B9,'MAPA DE PREÇOS'!$B:$B)-16),IF($C9=$C7,"Unidade","")))</f>
        <v>0</v>
      </c>
      <c r="I9" s="84">
        <f>IF($B8="","",IF($C9=$C6,INDEX('MAPA DE PREÇOS'!$M:$M,MATCH($B9,'MAPA DE PREÇOS'!$B:$B)-17),IF($C9=$C7,"Quant.","")))</f>
        <v>300</v>
      </c>
      <c r="J9" s="60">
        <f>IF(J8="Total Mensal","Total Acumulado",IF($B8="","",IF($C9=$C6,INDEX('MAPA DE PREÇOS'!$M:$M,MATCH($B9,'MAPA DE PREÇOS'!$B:$B)-19),IF($C9=$C7,"Valor Unit. (R$)",IF(AND($C9&lt;&gt;$C8,$J8&lt;&gt;""),"Total Mensal","")))))</f>
        <v>3.36</v>
      </c>
      <c r="K9" s="75">
        <f>IF(J9="","",IF(J9="Total Mensal","-",IF(J9="Total Acumulado",SUM(K$7:K8),I9*J9)))</f>
        <v>1008</v>
      </c>
      <c r="L9" s="112">
        <f>IF(J9="","",IF(J9="Total Mensal","-",IF(J9="Total Acumulado",SUM(L$7:L8),K9/SUMIF(J:J,"Total Acumulado",K:K))))</f>
        <v>4.3625032459101529E-2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Camiseta personalizada</v>
      </c>
      <c r="H10" s="84">
        <f>IF($B9="","",IF($C10=$C7,INDEX('MAPA DE PREÇOS'!$M:$M,MATCH($B10,'MAPA DE PREÇOS'!$B:$B)-16),IF($C10=$C8,"Unidade","")))</f>
        <v>0</v>
      </c>
      <c r="I10" s="84">
        <f>IF($B9="","",IF($C10=$C7,INDEX('MAPA DE PREÇOS'!$M:$M,MATCH($B10,'MAPA DE PREÇOS'!$B:$B)-17),IF($C10=$C8,"Quant.","")))</f>
        <v>300</v>
      </c>
      <c r="J10" s="60">
        <f>IF(J9="Total Mensal","Total Acumulado",IF($B9="","",IF($C10=$C7,INDEX('MAPA DE PREÇOS'!$M:$M,MATCH($B10,'MAPA DE PREÇOS'!$B:$B)-19),IF($C10=$C8,"Valor Unit. (R$)",IF(AND($C10&lt;&gt;$C9,$J9&lt;&gt;""),"Total Mensal","")))))</f>
        <v>46.5</v>
      </c>
      <c r="K10" s="75">
        <f>IF(J10="","",IF(J10="Total Mensal","-",IF(J10="Total Acumulado",SUM(K$7:K9),I10*J10)))</f>
        <v>13950</v>
      </c>
      <c r="L10" s="112">
        <f>IF(J10="","",IF(J10="Total Mensal","-",IF(J10="Total Acumulado",SUM(L$7:L9),K10/SUMIF(J:J,"Total Acumulado",K:K))))</f>
        <v>0.60373928849649439</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Moleskini personalizado</v>
      </c>
      <c r="H11" s="84">
        <f>IF($B10="","",IF($C11=$C8,INDEX('MAPA DE PREÇOS'!$M:$M,MATCH($B11,'MAPA DE PREÇOS'!$B:$B)-16),IF($C11=$C9,"Unidade","")))</f>
        <v>0</v>
      </c>
      <c r="I11" s="84">
        <f>IF($B10="","",IF($C11=$C8,INDEX('MAPA DE PREÇOS'!$M:$M,MATCH($B11,'MAPA DE PREÇOS'!$B:$B)-17),IF($C11=$C9,"Quant.","")))</f>
        <v>300</v>
      </c>
      <c r="J11" s="60">
        <f>IF(J10="Total Mensal","Total Acumulado",IF($B10="","",IF($C11=$C8,INDEX('MAPA DE PREÇOS'!$M:$M,MATCH($B11,'MAPA DE PREÇOS'!$B:$B)-19),IF($C11=$C9,"Valor Unit. (R$)",IF(AND($C11&lt;&gt;$C10,$J10&lt;&gt;""),"Total Mensal","")))))</f>
        <v>14.97</v>
      </c>
      <c r="K11" s="75">
        <f>IF(J11="","",IF(J11="Total Mensal","-",IF(J11="Total Acumulado",SUM(K$7:K10),I11*J11)))</f>
        <v>4491</v>
      </c>
      <c r="L11" s="112">
        <f>IF(J11="","",IF(J11="Total Mensal","-",IF(J11="Total Acumulado",SUM(L$7:L10),K11/SUMIF(J:J,"Total Acumulado",K:K))))</f>
        <v>0.19436509997403273</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Mensal</v>
      </c>
      <c r="K12" s="75" t="str">
        <f>IF(J12="","",IF(J12="Total Mensal","-",IF(J12="Total Acumulado",SUM(K$7:K11),I12*J12)))</f>
        <v>-</v>
      </c>
      <c r="L12" s="112" t="str">
        <f>IF(J12="","",IF(J12="Total Mensal","-",IF(J12="Total Acumulado",SUM(L$7:L11),K12/SUMIF(J:J,"Total Acumulado",K:K))))</f>
        <v>-</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Total Acumulado</v>
      </c>
      <c r="K13" s="75">
        <f>IF(J13="","",IF(J13="Total Mensal","-",IF(J13="Total Acumulado",SUM(K$7:K12),I13*J13)))</f>
        <v>23106</v>
      </c>
      <c r="L13" s="112">
        <f>IF(J13="","",IF(J13="Total Mensal","-",IF(J13="Total Acumulado",SUM(L$7:L12),K13/SUMIF(J:J,"Total Acumulado",K:K))))</f>
        <v>1</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0.15827057907037134</v>
      </c>
      <c r="D6" s="42">
        <f>IFERROR(IF(C6=C5,IF(D5="","",D5+0.000000001),C6),"")</f>
        <v>0.15827057907037134</v>
      </c>
      <c r="E6" s="41">
        <f t="shared" ref="E6:E37" si="0">IFERROR(INDEX(B:B,MATCH(LARGE(D:D,ROW()-5),D:D,0)),"")</f>
        <v>3</v>
      </c>
      <c r="F6" s="41">
        <f>IFERROR(VLOOKUP($E6,'MAPA DE PREÇOS'!$B:$D,2,FALSE),"")</f>
        <v>1</v>
      </c>
      <c r="G6" s="41">
        <f>IFERROR(VLOOKUP($E6,'MAPA DE PREÇOS'!$B:$D,3,FALSE),"")</f>
        <v>3</v>
      </c>
      <c r="H6" s="41">
        <f t="array" ref="H6">IFERROR(IF(E6="","",INDEX('MAPA DE PREÇOS'!H:H,0+MATCH(ABC!E6,'MAPA DE PREÇOS'!B:B,0))),"")</f>
        <v>0</v>
      </c>
      <c r="I6" t="str">
        <f>IF(E6="","",INDEX('MAPA DE PREÇOS'!H:H,MATCH(ABC!E6,'MAPA DE PREÇOS'!B:B,0)+1))</f>
        <v>Camiseta personalizada</v>
      </c>
      <c r="J6" s="41">
        <f>IFERROR(IF(E6="","",INDEX('MAPA DE PREÇOS'!M:M,3+MATCH(ABC!E6,'MAPA DE PREÇOS'!B:B,0))),"")</f>
        <v>0</v>
      </c>
      <c r="K6" s="52">
        <f t="array" ref="K6">IFERROR(IF(E6="","",INDEX('MAPA DE PREÇOS'!M:M,2+MATCH(ABC!E6,'MAPA DE PREÇOS'!B:B,0))),"")</f>
        <v>300</v>
      </c>
      <c r="L6" s="53">
        <f t="array" ref="L6">IFERROR(IF(AND(E5&lt;&gt;"",E6=""),"TOTAL ESTIMADO",INDEX('MAPA DE PREÇOS'!M:M,0+MATCH(ABC!E6,'MAPA DE PREÇOS'!B:B,0))),"")</f>
        <v>46.5</v>
      </c>
      <c r="M6" s="54">
        <f>IFERROR(IF(AND(E5&lt;&gt;"",E6=""),SUM($M$5:M5),INDEX('MAPA DE PREÇOS'!M:M,19+MATCH(ABC!E6,'MAPA DE PREÇOS'!B:B,0))),"")</f>
        <v>13950</v>
      </c>
      <c r="N6" s="90">
        <f t="shared" ref="N6:N37" si="1">IFERROR(VLOOKUP(E6,$B:$C,2),"")</f>
        <v>0.60373928849649439</v>
      </c>
      <c r="O6" s="90">
        <f>N6</f>
        <v>0.60373928849649439</v>
      </c>
      <c r="P6" s="54" t="str">
        <f>IF(O6="","",IF(OR(N6&gt;=$S$6,O6&lt;=$S$6),"A",IF(O6&lt;=SUM($S$6:$S$7),"B","C")))</f>
        <v>A</v>
      </c>
      <c r="R6" s="156" t="s">
        <v>310</v>
      </c>
      <c r="S6" s="157">
        <v>0.8</v>
      </c>
      <c r="T6" s="156">
        <f>COUNTIF($P$6:$P$107,$R6)</f>
        <v>2</v>
      </c>
      <c r="U6" s="158">
        <f>SUMIFS($M$6:$M$107,$P$6:$P$107,$R6)</f>
        <v>18441</v>
      </c>
    </row>
    <row r="7" spans="1:21" x14ac:dyDescent="0.25">
      <c r="B7" s="41">
        <v>2</v>
      </c>
      <c r="C7" s="42">
        <f>IFERROR(INDEX('MAPA DE PREÇOS'!M:M,MATCH(B7,'MAPA DE PREÇOS'!B:B,0)+19)/(SUMPRODUCT(EDITAL!I:I,EDITAL!J:J)),"")</f>
        <v>4.3625032459101529E-2</v>
      </c>
      <c r="D7" s="42">
        <f t="shared" ref="D7:D70" si="2">IFERROR(IF(C7=C6,IF(D6="","",D6+0.000000001),C7),"")</f>
        <v>4.3625032459101529E-2</v>
      </c>
      <c r="E7" s="41">
        <f t="shared" si="0"/>
        <v>4</v>
      </c>
      <c r="F7" s="41">
        <f>IFERROR(VLOOKUP($E7,'MAPA DE PREÇOS'!$B:$D,2,FALSE),"")</f>
        <v>1</v>
      </c>
      <c r="G7" s="41">
        <f>IFERROR(VLOOKUP($E7,'MAPA DE PREÇOS'!$B:$D,3,FALSE),"")</f>
        <v>4</v>
      </c>
      <c r="H7" s="41">
        <f t="array" ref="H7">IFERROR(IF(E7="","",INDEX('MAPA DE PREÇOS'!H:H,0+MATCH(ABC!E7,'MAPA DE PREÇOS'!B:B,0))),"")</f>
        <v>0</v>
      </c>
      <c r="I7" t="str">
        <f>IF(E7="","",INDEX('MAPA DE PREÇOS'!H:H,MATCH(ABC!E7,'MAPA DE PREÇOS'!B:B,0)+1))</f>
        <v>Moleskini personalizado</v>
      </c>
      <c r="J7" s="41">
        <f>IFERROR(IF(E7="","",INDEX('MAPA DE PREÇOS'!M:M,3+MATCH(ABC!E7,'MAPA DE PREÇOS'!B:B,0))),"")</f>
        <v>0</v>
      </c>
      <c r="K7" s="52">
        <f t="array" ref="K7">IFERROR(IF(E7="","",INDEX('MAPA DE PREÇOS'!M:M,2+MATCH(ABC!E7,'MAPA DE PREÇOS'!B:B,0))),"")</f>
        <v>300</v>
      </c>
      <c r="L7" s="53">
        <f t="array" ref="L7">IFERROR(IF(AND(E6&lt;&gt;"",E7=""),"TOTAL ESTIMADO",INDEX('MAPA DE PREÇOS'!M:M,0+MATCH(ABC!E7,'MAPA DE PREÇOS'!B:B,0))),"")</f>
        <v>14.97</v>
      </c>
      <c r="M7" s="54">
        <f>IFERROR(IF(AND(E6&lt;&gt;"",E7=""),SUM($M$5:M6),INDEX('MAPA DE PREÇOS'!M:M,19+MATCH(ABC!E7,'MAPA DE PREÇOS'!B:B,0))),"")</f>
        <v>4491</v>
      </c>
      <c r="N7" s="90">
        <f t="shared" si="1"/>
        <v>0.19436509997403273</v>
      </c>
      <c r="O7" s="90">
        <f>IFERROR(N7+O6,"")</f>
        <v>0.79810438847052712</v>
      </c>
      <c r="P7" s="54" t="str">
        <f t="shared" ref="P7:P70" si="3">IF(O7="","",IF(OR(N7&gt;=$S$6,O7&lt;=$S$6),"A",IF(O7&lt;=SUM($S$6:$S$7),"B","C")))</f>
        <v>A</v>
      </c>
      <c r="R7" s="159" t="s">
        <v>311</v>
      </c>
      <c r="S7" s="160">
        <v>0.15</v>
      </c>
      <c r="T7" s="159">
        <f>COUNTIF($P$6:$P$107,$R7)</f>
        <v>0</v>
      </c>
      <c r="U7" s="161">
        <f>SUMIFS($M$6:$M$107,$P$6:$P$107,$R7)</f>
        <v>0</v>
      </c>
    </row>
    <row r="8" spans="1:21" x14ac:dyDescent="0.25">
      <c r="B8" s="41">
        <v>3</v>
      </c>
      <c r="C8" s="42">
        <f>IFERROR(INDEX('MAPA DE PREÇOS'!M:M,MATCH(B8,'MAPA DE PREÇOS'!B:B,0)+19)/(SUMPRODUCT(EDITAL!I:I,EDITAL!J:J)),"")</f>
        <v>0.60373928849649439</v>
      </c>
      <c r="D8" s="42">
        <f t="shared" si="2"/>
        <v>0.60373928849649439</v>
      </c>
      <c r="E8" s="41">
        <f t="shared" si="0"/>
        <v>1</v>
      </c>
      <c r="F8" s="41">
        <f>IFERROR(VLOOKUP($E8,'MAPA DE PREÇOS'!$B:$D,2,FALSE),"")</f>
        <v>1</v>
      </c>
      <c r="G8" s="41">
        <f>IFERROR(VLOOKUP($E8,'MAPA DE PREÇOS'!$B:$D,3,FALSE),"")</f>
        <v>1</v>
      </c>
      <c r="H8" s="41">
        <f t="array" ref="H8">IFERROR(IF(E8="","",INDEX('MAPA DE PREÇOS'!H:H,0+MATCH(ABC!E8,'MAPA DE PREÇOS'!B:B,0))),"")</f>
        <v>0</v>
      </c>
      <c r="I8" t="str">
        <f>IF(E8="","",INDEX('MAPA DE PREÇOS'!H:H,MATCH(ABC!E8,'MAPA DE PREÇOS'!B:B,0)+1))</f>
        <v>Sacola de pano personalizada</v>
      </c>
      <c r="J8" s="41">
        <f>IFERROR(IF(E8="","",INDEX('MAPA DE PREÇOS'!M:M,3+MATCH(ABC!E8,'MAPA DE PREÇOS'!B:B,0))),"")</f>
        <v>0</v>
      </c>
      <c r="K8" s="52">
        <f t="array" ref="K8">IFERROR(IF(E8="","",INDEX('MAPA DE PREÇOS'!M:M,2+MATCH(ABC!E8,'MAPA DE PREÇOS'!B:B,0))),"")</f>
        <v>300</v>
      </c>
      <c r="L8" s="53">
        <f t="array" ref="L8">IFERROR(IF(AND(E7&lt;&gt;"",E8=""),"TOTAL ESTIMADO",INDEX('MAPA DE PREÇOS'!M:M,0+MATCH(ABC!E8,'MAPA DE PREÇOS'!B:B,0))),"")</f>
        <v>12.19</v>
      </c>
      <c r="M8" s="54">
        <f>IFERROR(IF(AND(E7&lt;&gt;"",E8=""),SUM($M$5:M7),INDEX('MAPA DE PREÇOS'!M:M,19+MATCH(ABC!E8,'MAPA DE PREÇOS'!B:B,0))),"")</f>
        <v>3657</v>
      </c>
      <c r="N8" s="90">
        <f t="shared" si="1"/>
        <v>0.15827057907037134</v>
      </c>
      <c r="O8" s="90">
        <f t="shared" ref="O8:O71" si="4">IFERROR(N8+O7,"")</f>
        <v>0.95637496754089846</v>
      </c>
      <c r="P8" s="54" t="str">
        <f t="shared" si="3"/>
        <v>C</v>
      </c>
      <c r="R8" s="153" t="s">
        <v>312</v>
      </c>
      <c r="S8" s="154">
        <v>0.05</v>
      </c>
      <c r="T8" s="153">
        <f>COUNTIF($P$6:$P$107,$R8)</f>
        <v>2</v>
      </c>
      <c r="U8" s="155">
        <f>SUMIFS($M$6:$M$107,$P$6:$P$107,$R8)</f>
        <v>4665</v>
      </c>
    </row>
    <row r="9" spans="1:21" x14ac:dyDescent="0.25">
      <c r="B9" s="41">
        <v>4</v>
      </c>
      <c r="C9" s="42">
        <f>IFERROR(INDEX('MAPA DE PREÇOS'!M:M,MATCH(B9,'MAPA DE PREÇOS'!B:B,0)+19)/(SUMPRODUCT(EDITAL!I:I,EDITAL!J:J)),"")</f>
        <v>0.19436509997403273</v>
      </c>
      <c r="D9" s="42">
        <f t="shared" si="2"/>
        <v>0.19436509997403273</v>
      </c>
      <c r="E9" s="41">
        <f t="shared" si="0"/>
        <v>2</v>
      </c>
      <c r="F9" s="41">
        <f>IFERROR(VLOOKUP($E9,'MAPA DE PREÇOS'!$B:$D,2,FALSE),"")</f>
        <v>1</v>
      </c>
      <c r="G9" s="41">
        <f>IFERROR(VLOOKUP($E9,'MAPA DE PREÇOS'!$B:$D,3,FALSE),"")</f>
        <v>2</v>
      </c>
      <c r="H9" s="41">
        <f t="array" ref="H9">IFERROR(IF(E9="","",INDEX('MAPA DE PREÇOS'!H:H,0+MATCH(ABC!E9,'MAPA DE PREÇOS'!B:B,0))),"")</f>
        <v>0</v>
      </c>
      <c r="I9" t="str">
        <f>IF(E9="","",INDEX('MAPA DE PREÇOS'!H:H,MATCH(ABC!E9,'MAPA DE PREÇOS'!B:B,0)+1))</f>
        <v>Caneta personalizada metálica</v>
      </c>
      <c r="J9" s="41">
        <f>IFERROR(IF(E9="","",INDEX('MAPA DE PREÇOS'!M:M,3+MATCH(ABC!E9,'MAPA DE PREÇOS'!B:B,0))),"")</f>
        <v>0</v>
      </c>
      <c r="K9" s="52">
        <f t="array" ref="K9">IFERROR(IF(E9="","",INDEX('MAPA DE PREÇOS'!M:M,2+MATCH(ABC!E9,'MAPA DE PREÇOS'!B:B,0))),"")</f>
        <v>300</v>
      </c>
      <c r="L9" s="53">
        <f t="array" ref="L9">IFERROR(IF(AND(E8&lt;&gt;"",E9=""),"TOTAL ESTIMADO",INDEX('MAPA DE PREÇOS'!M:M,0+MATCH(ABC!E9,'MAPA DE PREÇOS'!B:B,0))),"")</f>
        <v>3.36</v>
      </c>
      <c r="M9" s="54">
        <f>IFERROR(IF(AND(E8&lt;&gt;"",E9=""),SUM($M$5:M8),INDEX('MAPA DE PREÇOS'!M:M,19+MATCH(ABC!E9,'MAPA DE PREÇOS'!B:B,0))),"")</f>
        <v>1008</v>
      </c>
      <c r="N9" s="90">
        <f t="shared" si="1"/>
        <v>4.3625032459101529E-2</v>
      </c>
      <c r="O9" s="90">
        <f t="shared" si="4"/>
        <v>1</v>
      </c>
      <c r="P9" s="54" t="str">
        <f t="shared" si="3"/>
        <v>C</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TOTAL ESTIMADO</v>
      </c>
      <c r="M10" s="54">
        <f>IFERROR(IF(AND(E9&lt;&gt;"",E10=""),SUM($M$5:M9),INDEX('MAPA DE PREÇOS'!M:M,19+MATCH(ABC!E10,'MAPA DE PREÇOS'!B:B,0))),"")</f>
        <v>23106</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B387" sqref="B387"/>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row r="388" spans="1:2" ht="15" x14ac:dyDescent="0.25"/>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2026-03-16T12:26:30Z</dcterms:modified>
</cp:coreProperties>
</file>