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EstaPasta_de_trabalho" defaultThemeVersion="124226"/>
  <xr:revisionPtr revIDLastSave="0" documentId="13_ncr:1_{6B6296AB-D923-44BE-A1AB-09826C0C3A83}" xr6:coauthVersionLast="47" xr6:coauthVersionMax="47" xr10:uidLastSave="{00000000-0000-0000-0000-000000000000}"/>
  <bookViews>
    <workbookView xWindow="2868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externalReferences>
    <externalReference r:id="rId10"/>
  </externalReference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S41" i="2"/>
  <c r="T41" i="2"/>
  <c r="U41" i="2"/>
  <c r="V41" i="2"/>
  <c r="W41" i="2"/>
  <c r="X41" i="2"/>
  <c r="Y41" i="2"/>
  <c r="Z41" i="2"/>
  <c r="AA41" i="2"/>
  <c r="AB41" i="2"/>
  <c r="AC41" i="2"/>
  <c r="AD41" i="2"/>
  <c r="AE41" i="2"/>
  <c r="AF41" i="2"/>
  <c r="AG41" i="2"/>
  <c r="AH41" i="2"/>
  <c r="AI41" i="2"/>
  <c r="J42" i="2"/>
  <c r="O43" i="2"/>
  <c r="S43" i="2"/>
  <c r="T43" i="2"/>
  <c r="U43" i="2"/>
  <c r="V43" i="2"/>
  <c r="W43" i="2"/>
  <c r="X43" i="2"/>
  <c r="Y43" i="2"/>
  <c r="Z43" i="2"/>
  <c r="AA43" i="2"/>
  <c r="AB43" i="2"/>
  <c r="AC43" i="2"/>
  <c r="AD43" i="2"/>
  <c r="AE43" i="2"/>
  <c r="AF43" i="2"/>
  <c r="AG43" i="2"/>
  <c r="AH43" i="2"/>
  <c r="AI43" i="2"/>
  <c r="O44" i="2"/>
  <c r="O45" i="2"/>
  <c r="S45" i="2"/>
  <c r="T45" i="2"/>
  <c r="U45" i="2"/>
  <c r="V45" i="2"/>
  <c r="W45" i="2"/>
  <c r="X45" i="2"/>
  <c r="Y45" i="2"/>
  <c r="Z45" i="2"/>
  <c r="AA45" i="2"/>
  <c r="AB45" i="2"/>
  <c r="AC45" i="2"/>
  <c r="AD45" i="2"/>
  <c r="AE45" i="2"/>
  <c r="AF45" i="2"/>
  <c r="AG45" i="2"/>
  <c r="AH45" i="2"/>
  <c r="AI45" i="2"/>
  <c r="O46" i="2"/>
  <c r="O47" i="2"/>
  <c r="S47" i="2"/>
  <c r="T47" i="2"/>
  <c r="U47" i="2"/>
  <c r="V47" i="2"/>
  <c r="W47" i="2"/>
  <c r="X47" i="2"/>
  <c r="Y47" i="2"/>
  <c r="Z47" i="2"/>
  <c r="AA47" i="2"/>
  <c r="AB47" i="2"/>
  <c r="AC47" i="2"/>
  <c r="AD47" i="2"/>
  <c r="AE47" i="2"/>
  <c r="AF47" i="2"/>
  <c r="AG47" i="2"/>
  <c r="AH47" i="2"/>
  <c r="AI47" i="2"/>
  <c r="O48" i="2"/>
  <c r="O49" i="2"/>
  <c r="S49" i="2"/>
  <c r="T49" i="2"/>
  <c r="U49" i="2"/>
  <c r="V49" i="2"/>
  <c r="W49" i="2"/>
  <c r="X49" i="2"/>
  <c r="Y49" i="2"/>
  <c r="Z49" i="2"/>
  <c r="AA49" i="2"/>
  <c r="AB49" i="2"/>
  <c r="AC49" i="2"/>
  <c r="AD49" i="2"/>
  <c r="AE49" i="2"/>
  <c r="AF49" i="2"/>
  <c r="AG49" i="2"/>
  <c r="AH49" i="2"/>
  <c r="AI49" i="2"/>
  <c r="O50" i="2"/>
  <c r="O51" i="2"/>
  <c r="S51" i="2"/>
  <c r="T51" i="2"/>
  <c r="U51" i="2"/>
  <c r="V51" i="2"/>
  <c r="W51" i="2"/>
  <c r="X51" i="2"/>
  <c r="Y51" i="2"/>
  <c r="Z51" i="2"/>
  <c r="AA51" i="2"/>
  <c r="AB51" i="2"/>
  <c r="AC51" i="2"/>
  <c r="AD51" i="2"/>
  <c r="AE51" i="2"/>
  <c r="AF51" i="2"/>
  <c r="AG51" i="2"/>
  <c r="AH51" i="2"/>
  <c r="AI51" i="2"/>
  <c r="O52" i="2"/>
  <c r="O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S64" i="2"/>
  <c r="T64" i="2"/>
  <c r="U64" i="2"/>
  <c r="V64" i="2"/>
  <c r="W64" i="2"/>
  <c r="X64" i="2"/>
  <c r="Y64" i="2"/>
  <c r="Z64" i="2"/>
  <c r="AA64" i="2"/>
  <c r="AB64" i="2"/>
  <c r="AC64" i="2"/>
  <c r="AD64" i="2"/>
  <c r="AE64" i="2"/>
  <c r="AF64" i="2"/>
  <c r="AG64" i="2"/>
  <c r="AH64" i="2"/>
  <c r="AI64" i="2"/>
  <c r="O65" i="2"/>
  <c r="O66" i="2"/>
  <c r="S66" i="2"/>
  <c r="T66" i="2"/>
  <c r="U66" i="2"/>
  <c r="V66" i="2"/>
  <c r="W66" i="2"/>
  <c r="X66" i="2"/>
  <c r="Y66" i="2"/>
  <c r="Z66" i="2"/>
  <c r="AA66" i="2"/>
  <c r="AB66" i="2"/>
  <c r="AC66" i="2"/>
  <c r="AD66" i="2"/>
  <c r="AE66" i="2"/>
  <c r="AF66" i="2"/>
  <c r="AG66" i="2"/>
  <c r="AH66" i="2"/>
  <c r="AI66" i="2"/>
  <c r="O67" i="2"/>
  <c r="O68" i="2"/>
  <c r="S68" i="2"/>
  <c r="T68" i="2"/>
  <c r="U68" i="2"/>
  <c r="V68" i="2"/>
  <c r="W68" i="2"/>
  <c r="X68" i="2"/>
  <c r="Y68" i="2"/>
  <c r="Z68" i="2"/>
  <c r="AA68" i="2"/>
  <c r="AB68" i="2"/>
  <c r="AC68" i="2"/>
  <c r="AD68" i="2"/>
  <c r="AE68" i="2"/>
  <c r="AF68" i="2"/>
  <c r="AG68" i="2"/>
  <c r="AH68" i="2"/>
  <c r="AI68" i="2"/>
  <c r="O69" i="2"/>
  <c r="O70" i="2"/>
  <c r="S70" i="2"/>
  <c r="T70" i="2"/>
  <c r="U70" i="2"/>
  <c r="V70" i="2"/>
  <c r="W70" i="2"/>
  <c r="X70" i="2"/>
  <c r="Y70" i="2"/>
  <c r="Z70" i="2"/>
  <c r="AA70" i="2"/>
  <c r="AB70" i="2"/>
  <c r="AC70" i="2"/>
  <c r="AD70" i="2"/>
  <c r="AE70" i="2"/>
  <c r="AF70" i="2"/>
  <c r="AG70" i="2"/>
  <c r="AH70" i="2"/>
  <c r="AI70" i="2"/>
  <c r="O71" i="2"/>
  <c r="O72" i="2"/>
  <c r="S72" i="2"/>
  <c r="T72" i="2"/>
  <c r="U72" i="2"/>
  <c r="V72" i="2"/>
  <c r="W72" i="2"/>
  <c r="X72" i="2"/>
  <c r="Y72" i="2"/>
  <c r="Z72" i="2"/>
  <c r="AA72" i="2"/>
  <c r="AB72" i="2"/>
  <c r="AC72" i="2"/>
  <c r="AD72" i="2"/>
  <c r="AE72" i="2"/>
  <c r="AF72" i="2"/>
  <c r="AG72" i="2"/>
  <c r="AH72" i="2"/>
  <c r="AI72" i="2"/>
  <c r="O73" i="2"/>
  <c r="O74" i="2"/>
  <c r="S74" i="2"/>
  <c r="T74" i="2"/>
  <c r="U74" i="2"/>
  <c r="V74" i="2"/>
  <c r="W74" i="2"/>
  <c r="X74" i="2"/>
  <c r="Y74" i="2"/>
  <c r="Z74" i="2"/>
  <c r="AA74" i="2"/>
  <c r="AB74" i="2"/>
  <c r="AC74" i="2"/>
  <c r="AD74" i="2"/>
  <c r="AE74" i="2"/>
  <c r="AF74" i="2"/>
  <c r="AG74" i="2"/>
  <c r="AH74" i="2"/>
  <c r="AI74" i="2"/>
  <c r="O75" i="2"/>
  <c r="P82" i="2"/>
  <c r="Q82" i="2"/>
  <c r="R82" i="2"/>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S83" i="2"/>
  <c r="T83" i="2"/>
  <c r="U83" i="2"/>
  <c r="V83" i="2"/>
  <c r="W83" i="2"/>
  <c r="X83" i="2"/>
  <c r="Y83" i="2"/>
  <c r="Z83" i="2"/>
  <c r="AA83" i="2"/>
  <c r="AB83" i="2"/>
  <c r="AC83" i="2"/>
  <c r="AD83" i="2"/>
  <c r="AE83" i="2"/>
  <c r="AF83" i="2"/>
  <c r="AG83" i="2"/>
  <c r="AH83" i="2"/>
  <c r="AI83" i="2"/>
  <c r="J84" i="2"/>
  <c r="O85" i="2"/>
  <c r="S85" i="2"/>
  <c r="T85" i="2"/>
  <c r="U85" i="2"/>
  <c r="V85" i="2"/>
  <c r="W85" i="2"/>
  <c r="X85" i="2"/>
  <c r="Y85" i="2"/>
  <c r="Z85" i="2"/>
  <c r="AA85" i="2"/>
  <c r="AB85" i="2"/>
  <c r="AC85" i="2"/>
  <c r="AD85" i="2"/>
  <c r="AE85" i="2"/>
  <c r="AF85" i="2"/>
  <c r="AG85" i="2"/>
  <c r="AH85" i="2"/>
  <c r="AI85" i="2"/>
  <c r="O86" i="2"/>
  <c r="O87" i="2"/>
  <c r="S87" i="2"/>
  <c r="T87" i="2"/>
  <c r="U87" i="2"/>
  <c r="V87" i="2"/>
  <c r="W87" i="2"/>
  <c r="X87" i="2"/>
  <c r="Y87" i="2"/>
  <c r="Z87" i="2"/>
  <c r="AA87" i="2"/>
  <c r="AB87" i="2"/>
  <c r="AC87" i="2"/>
  <c r="AD87" i="2"/>
  <c r="AE87" i="2"/>
  <c r="AF87" i="2"/>
  <c r="AG87" i="2"/>
  <c r="AH87" i="2"/>
  <c r="AI87" i="2"/>
  <c r="O88" i="2"/>
  <c r="O89" i="2"/>
  <c r="S89" i="2"/>
  <c r="T89" i="2"/>
  <c r="U89" i="2"/>
  <c r="V89" i="2"/>
  <c r="W89" i="2"/>
  <c r="X89" i="2"/>
  <c r="Y89" i="2"/>
  <c r="Z89" i="2"/>
  <c r="AA89" i="2"/>
  <c r="AB89" i="2"/>
  <c r="AC89" i="2"/>
  <c r="AD89" i="2"/>
  <c r="AE89" i="2"/>
  <c r="AF89" i="2"/>
  <c r="AG89" i="2"/>
  <c r="AH89" i="2"/>
  <c r="AI89" i="2"/>
  <c r="O90" i="2"/>
  <c r="O91" i="2"/>
  <c r="S91" i="2"/>
  <c r="T91" i="2"/>
  <c r="U91" i="2"/>
  <c r="V91" i="2"/>
  <c r="W91" i="2"/>
  <c r="X91" i="2"/>
  <c r="Y91" i="2"/>
  <c r="Z91" i="2"/>
  <c r="AA91" i="2"/>
  <c r="AB91" i="2"/>
  <c r="AC91" i="2"/>
  <c r="AD91" i="2"/>
  <c r="AE91" i="2"/>
  <c r="AF91" i="2"/>
  <c r="AG91" i="2"/>
  <c r="AH91" i="2"/>
  <c r="AI91" i="2"/>
  <c r="O92" i="2"/>
  <c r="O93" i="2"/>
  <c r="S93" i="2"/>
  <c r="T93" i="2"/>
  <c r="U93" i="2"/>
  <c r="V93" i="2"/>
  <c r="W93" i="2"/>
  <c r="X93" i="2"/>
  <c r="Y93" i="2"/>
  <c r="Z93" i="2"/>
  <c r="AA93" i="2"/>
  <c r="AB93" i="2"/>
  <c r="AC93" i="2"/>
  <c r="AD93" i="2"/>
  <c r="AE93" i="2"/>
  <c r="AF93" i="2"/>
  <c r="AG93" i="2"/>
  <c r="AH93" i="2"/>
  <c r="AI93" i="2"/>
  <c r="O94" i="2"/>
  <c r="O95" i="2"/>
  <c r="S95" i="2"/>
  <c r="T95" i="2"/>
  <c r="U95" i="2"/>
  <c r="V95" i="2"/>
  <c r="W95" i="2"/>
  <c r="X95" i="2"/>
  <c r="Y95" i="2"/>
  <c r="Z95" i="2"/>
  <c r="AA95" i="2"/>
  <c r="AB95" i="2"/>
  <c r="AC95" i="2"/>
  <c r="AD95" i="2"/>
  <c r="AE95" i="2"/>
  <c r="AF95" i="2"/>
  <c r="AG95" i="2"/>
  <c r="AH95" i="2"/>
  <c r="AI95" i="2"/>
  <c r="O96" i="2"/>
  <c r="P103" i="2"/>
  <c r="Q103" i="2"/>
  <c r="R103" i="2"/>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S104" i="2"/>
  <c r="T104" i="2"/>
  <c r="U104" i="2"/>
  <c r="V104" i="2"/>
  <c r="W104" i="2"/>
  <c r="X104" i="2"/>
  <c r="Y104" i="2"/>
  <c r="Z104" i="2"/>
  <c r="AA104" i="2"/>
  <c r="AB104" i="2"/>
  <c r="AC104" i="2"/>
  <c r="AD104" i="2"/>
  <c r="AE104" i="2"/>
  <c r="AF104" i="2"/>
  <c r="AG104" i="2"/>
  <c r="AH104" i="2"/>
  <c r="AI104" i="2"/>
  <c r="J105" i="2"/>
  <c r="O106" i="2"/>
  <c r="S106" i="2"/>
  <c r="T106" i="2"/>
  <c r="U106" i="2"/>
  <c r="V106" i="2"/>
  <c r="W106" i="2"/>
  <c r="X106" i="2"/>
  <c r="Y106" i="2"/>
  <c r="Z106" i="2"/>
  <c r="AA106" i="2"/>
  <c r="AB106" i="2"/>
  <c r="AC106" i="2"/>
  <c r="AD106" i="2"/>
  <c r="AE106" i="2"/>
  <c r="AF106" i="2"/>
  <c r="AG106" i="2"/>
  <c r="AH106" i="2"/>
  <c r="AI106" i="2"/>
  <c r="O107" i="2"/>
  <c r="O108" i="2"/>
  <c r="S108" i="2"/>
  <c r="T108" i="2"/>
  <c r="U108" i="2"/>
  <c r="V108" i="2"/>
  <c r="W108" i="2"/>
  <c r="X108" i="2"/>
  <c r="Y108" i="2"/>
  <c r="Z108" i="2"/>
  <c r="AA108" i="2"/>
  <c r="AB108" i="2"/>
  <c r="AC108" i="2"/>
  <c r="AD108" i="2"/>
  <c r="AE108" i="2"/>
  <c r="AF108" i="2"/>
  <c r="AG108" i="2"/>
  <c r="AH108" i="2"/>
  <c r="AI108" i="2"/>
  <c r="O109" i="2"/>
  <c r="O110" i="2"/>
  <c r="S110" i="2"/>
  <c r="T110" i="2"/>
  <c r="U110" i="2"/>
  <c r="V110" i="2"/>
  <c r="W110" i="2"/>
  <c r="X110" i="2"/>
  <c r="Y110" i="2"/>
  <c r="Z110" i="2"/>
  <c r="AA110" i="2"/>
  <c r="AB110" i="2"/>
  <c r="AC110" i="2"/>
  <c r="AD110" i="2"/>
  <c r="AE110" i="2"/>
  <c r="AF110" i="2"/>
  <c r="AG110" i="2"/>
  <c r="AH110" i="2"/>
  <c r="AI110" i="2"/>
  <c r="O111" i="2"/>
  <c r="O112" i="2"/>
  <c r="S112" i="2"/>
  <c r="T112" i="2"/>
  <c r="U112" i="2"/>
  <c r="V112" i="2"/>
  <c r="W112" i="2"/>
  <c r="X112" i="2"/>
  <c r="Y112" i="2"/>
  <c r="Z112" i="2"/>
  <c r="AA112" i="2"/>
  <c r="AB112" i="2"/>
  <c r="AC112" i="2"/>
  <c r="AD112" i="2"/>
  <c r="AE112" i="2"/>
  <c r="AF112" i="2"/>
  <c r="AG112" i="2"/>
  <c r="AH112" i="2"/>
  <c r="AI112" i="2"/>
  <c r="O113" i="2"/>
  <c r="O114" i="2"/>
  <c r="S114" i="2"/>
  <c r="T114" i="2"/>
  <c r="U114" i="2"/>
  <c r="V114" i="2"/>
  <c r="W114" i="2"/>
  <c r="X114" i="2"/>
  <c r="Y114" i="2"/>
  <c r="Z114" i="2"/>
  <c r="AA114" i="2"/>
  <c r="AB114" i="2"/>
  <c r="AC114" i="2"/>
  <c r="AD114" i="2"/>
  <c r="AE114" i="2"/>
  <c r="AF114" i="2"/>
  <c r="AG114" i="2"/>
  <c r="AH114" i="2"/>
  <c r="AI114" i="2"/>
  <c r="O115" i="2"/>
  <c r="O116" i="2"/>
  <c r="S116" i="2"/>
  <c r="T116" i="2"/>
  <c r="U116" i="2"/>
  <c r="V116" i="2"/>
  <c r="W116" i="2"/>
  <c r="X116" i="2"/>
  <c r="Y116" i="2"/>
  <c r="Z116" i="2"/>
  <c r="AA116" i="2"/>
  <c r="AB116" i="2"/>
  <c r="AC116" i="2"/>
  <c r="AD116" i="2"/>
  <c r="AE116" i="2"/>
  <c r="AF116" i="2"/>
  <c r="AG116" i="2"/>
  <c r="AH116" i="2"/>
  <c r="AI116" i="2"/>
  <c r="O117" i="2"/>
  <c r="P124" i="2"/>
  <c r="Q124" i="2"/>
  <c r="R124" i="2"/>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S125" i="2"/>
  <c r="T125" i="2"/>
  <c r="U125" i="2"/>
  <c r="V125" i="2"/>
  <c r="W125" i="2"/>
  <c r="X125" i="2"/>
  <c r="Y125" i="2"/>
  <c r="Z125" i="2"/>
  <c r="AA125" i="2"/>
  <c r="AB125" i="2"/>
  <c r="AC125" i="2"/>
  <c r="AD125" i="2"/>
  <c r="AE125" i="2"/>
  <c r="AF125" i="2"/>
  <c r="AG125" i="2"/>
  <c r="AH125" i="2"/>
  <c r="AI125" i="2"/>
  <c r="J126" i="2"/>
  <c r="O127" i="2"/>
  <c r="S127" i="2"/>
  <c r="T127" i="2"/>
  <c r="U127" i="2"/>
  <c r="V127" i="2"/>
  <c r="W127" i="2"/>
  <c r="X127" i="2"/>
  <c r="Y127" i="2"/>
  <c r="Z127" i="2"/>
  <c r="AA127" i="2"/>
  <c r="AB127" i="2"/>
  <c r="AC127" i="2"/>
  <c r="AD127" i="2"/>
  <c r="AE127" i="2"/>
  <c r="AF127" i="2"/>
  <c r="AG127" i="2"/>
  <c r="AH127" i="2"/>
  <c r="AI127" i="2"/>
  <c r="O128" i="2"/>
  <c r="O129" i="2"/>
  <c r="S129" i="2"/>
  <c r="T129" i="2"/>
  <c r="U129" i="2"/>
  <c r="V129" i="2"/>
  <c r="W129" i="2"/>
  <c r="X129" i="2"/>
  <c r="Y129" i="2"/>
  <c r="Z129" i="2"/>
  <c r="AA129" i="2"/>
  <c r="AB129" i="2"/>
  <c r="AC129" i="2"/>
  <c r="AD129" i="2"/>
  <c r="AE129" i="2"/>
  <c r="AF129" i="2"/>
  <c r="AG129" i="2"/>
  <c r="AH129" i="2"/>
  <c r="AI129" i="2"/>
  <c r="O130" i="2"/>
  <c r="O131" i="2"/>
  <c r="S131" i="2"/>
  <c r="T131" i="2"/>
  <c r="U131" i="2"/>
  <c r="V131" i="2"/>
  <c r="W131" i="2"/>
  <c r="X131" i="2"/>
  <c r="Y131" i="2"/>
  <c r="Z131" i="2"/>
  <c r="AA131" i="2"/>
  <c r="AB131" i="2"/>
  <c r="AC131" i="2"/>
  <c r="AD131" i="2"/>
  <c r="AE131" i="2"/>
  <c r="AF131" i="2"/>
  <c r="AG131" i="2"/>
  <c r="AH131" i="2"/>
  <c r="AI131" i="2"/>
  <c r="O132" i="2"/>
  <c r="O133" i="2"/>
  <c r="S133" i="2"/>
  <c r="T133" i="2"/>
  <c r="U133" i="2"/>
  <c r="V133" i="2"/>
  <c r="W133" i="2"/>
  <c r="X133" i="2"/>
  <c r="Y133" i="2"/>
  <c r="Z133" i="2"/>
  <c r="AA133" i="2"/>
  <c r="AB133" i="2"/>
  <c r="AC133" i="2"/>
  <c r="AD133" i="2"/>
  <c r="AE133" i="2"/>
  <c r="AF133" i="2"/>
  <c r="AG133" i="2"/>
  <c r="AH133" i="2"/>
  <c r="AI133" i="2"/>
  <c r="O134" i="2"/>
  <c r="O135" i="2"/>
  <c r="S135" i="2"/>
  <c r="T135" i="2"/>
  <c r="U135" i="2"/>
  <c r="V135" i="2"/>
  <c r="W135" i="2"/>
  <c r="X135" i="2"/>
  <c r="Y135" i="2"/>
  <c r="Z135" i="2"/>
  <c r="AA135" i="2"/>
  <c r="AB135" i="2"/>
  <c r="AC135" i="2"/>
  <c r="AD135" i="2"/>
  <c r="AE135" i="2"/>
  <c r="AF135" i="2"/>
  <c r="AG135" i="2"/>
  <c r="AH135" i="2"/>
  <c r="AI135" i="2"/>
  <c r="O136" i="2"/>
  <c r="O137" i="2"/>
  <c r="S137" i="2"/>
  <c r="T137" i="2"/>
  <c r="U137" i="2"/>
  <c r="V137" i="2"/>
  <c r="W137" i="2"/>
  <c r="X137" i="2"/>
  <c r="Y137" i="2"/>
  <c r="Z137" i="2"/>
  <c r="AA137" i="2"/>
  <c r="AB137" i="2"/>
  <c r="AC137" i="2"/>
  <c r="AD137" i="2"/>
  <c r="AE137" i="2"/>
  <c r="AF137" i="2"/>
  <c r="AG137" i="2"/>
  <c r="AH137" i="2"/>
  <c r="AI137" i="2"/>
  <c r="O138" i="2"/>
  <c r="P145" i="2"/>
  <c r="Q145" i="2"/>
  <c r="R145" i="2"/>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S146" i="2"/>
  <c r="T146" i="2"/>
  <c r="U146" i="2"/>
  <c r="V146" i="2"/>
  <c r="W146" i="2"/>
  <c r="X146" i="2"/>
  <c r="Y146" i="2"/>
  <c r="Z146" i="2"/>
  <c r="AA146" i="2"/>
  <c r="AB146" i="2"/>
  <c r="AC146" i="2"/>
  <c r="AD146" i="2"/>
  <c r="AE146" i="2"/>
  <c r="AF146" i="2"/>
  <c r="AG146" i="2"/>
  <c r="AH146" i="2"/>
  <c r="AI146" i="2"/>
  <c r="J147" i="2"/>
  <c r="O148" i="2"/>
  <c r="S148" i="2"/>
  <c r="T148" i="2"/>
  <c r="U148" i="2"/>
  <c r="V148" i="2"/>
  <c r="W148" i="2"/>
  <c r="X148" i="2"/>
  <c r="Y148" i="2"/>
  <c r="Z148" i="2"/>
  <c r="AA148" i="2"/>
  <c r="AB148" i="2"/>
  <c r="AC148" i="2"/>
  <c r="AD148" i="2"/>
  <c r="AE148" i="2"/>
  <c r="AF148" i="2"/>
  <c r="AG148" i="2"/>
  <c r="AH148" i="2"/>
  <c r="AI148" i="2"/>
  <c r="O149" i="2"/>
  <c r="O150" i="2"/>
  <c r="S150" i="2"/>
  <c r="T150" i="2"/>
  <c r="U150" i="2"/>
  <c r="V150" i="2"/>
  <c r="W150" i="2"/>
  <c r="X150" i="2"/>
  <c r="Y150" i="2"/>
  <c r="Z150" i="2"/>
  <c r="AA150" i="2"/>
  <c r="AB150" i="2"/>
  <c r="AC150" i="2"/>
  <c r="AD150" i="2"/>
  <c r="AE150" i="2"/>
  <c r="AF150" i="2"/>
  <c r="AG150" i="2"/>
  <c r="AH150" i="2"/>
  <c r="AI150" i="2"/>
  <c r="O151" i="2"/>
  <c r="O152" i="2"/>
  <c r="S152" i="2"/>
  <c r="T152" i="2"/>
  <c r="U152" i="2"/>
  <c r="V152" i="2"/>
  <c r="W152" i="2"/>
  <c r="X152" i="2"/>
  <c r="Y152" i="2"/>
  <c r="Z152" i="2"/>
  <c r="AA152" i="2"/>
  <c r="AB152" i="2"/>
  <c r="AC152" i="2"/>
  <c r="AD152" i="2"/>
  <c r="AE152" i="2"/>
  <c r="AF152" i="2"/>
  <c r="AG152" i="2"/>
  <c r="AH152" i="2"/>
  <c r="AI152" i="2"/>
  <c r="O153" i="2"/>
  <c r="O154" i="2"/>
  <c r="S154" i="2"/>
  <c r="T154" i="2"/>
  <c r="U154" i="2"/>
  <c r="V154" i="2"/>
  <c r="W154" i="2"/>
  <c r="X154" i="2"/>
  <c r="Y154" i="2"/>
  <c r="Z154" i="2"/>
  <c r="AA154" i="2"/>
  <c r="AB154" i="2"/>
  <c r="AC154" i="2"/>
  <c r="AD154" i="2"/>
  <c r="AE154" i="2"/>
  <c r="AF154" i="2"/>
  <c r="AG154" i="2"/>
  <c r="AH154" i="2"/>
  <c r="AI154" i="2"/>
  <c r="O155" i="2"/>
  <c r="O156" i="2"/>
  <c r="S156" i="2"/>
  <c r="T156" i="2"/>
  <c r="U156" i="2"/>
  <c r="V156" i="2"/>
  <c r="W156" i="2"/>
  <c r="X156" i="2"/>
  <c r="Y156" i="2"/>
  <c r="Z156" i="2"/>
  <c r="AA156" i="2"/>
  <c r="AB156" i="2"/>
  <c r="AC156" i="2"/>
  <c r="AD156" i="2"/>
  <c r="AE156" i="2"/>
  <c r="AF156" i="2"/>
  <c r="AG156" i="2"/>
  <c r="AH156" i="2"/>
  <c r="AI156" i="2"/>
  <c r="O157" i="2"/>
  <c r="O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R147" i="2" l="1"/>
  <c r="R126" i="2"/>
  <c r="R125" i="2" s="1"/>
  <c r="R105" i="2"/>
  <c r="R104" i="2" s="1"/>
  <c r="R84" i="2"/>
  <c r="R83" i="2" s="1"/>
  <c r="P126" i="2"/>
  <c r="P125" i="2" s="1"/>
  <c r="Q84" i="2"/>
  <c r="Q83" i="2" s="1"/>
  <c r="R63" i="2"/>
  <c r="R62" i="2" s="1"/>
  <c r="R42" i="2"/>
  <c r="R41" i="2" s="1"/>
  <c r="P84" i="2"/>
  <c r="P83" i="2" s="1"/>
  <c r="Q63" i="2"/>
  <c r="Q62" i="2" s="1"/>
  <c r="P63" i="2"/>
  <c r="P62" i="2" s="1"/>
  <c r="Q42" i="2"/>
  <c r="Q41" i="2" s="1"/>
  <c r="P42" i="2"/>
  <c r="P41" i="2" s="1"/>
  <c r="Q105" i="2"/>
  <c r="Q104" i="2" s="1"/>
  <c r="P105" i="2"/>
  <c r="P104" i="2" s="1"/>
  <c r="Q107" i="2" s="1"/>
  <c r="Q126" i="2"/>
  <c r="Q125" i="2" s="1"/>
  <c r="P128" i="2" s="1"/>
  <c r="R146" i="2"/>
  <c r="Q147" i="2"/>
  <c r="Q146" i="2" s="1"/>
  <c r="P147" i="2"/>
  <c r="P146"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H336" i="2"/>
  <c r="R233" i="2"/>
  <c r="R235" i="2" s="1"/>
  <c r="R237" i="2" s="1"/>
  <c r="R239" i="2" s="1"/>
  <c r="R241" i="2" s="1"/>
  <c r="R243" i="2" s="1"/>
  <c r="M211" i="2"/>
  <c r="M446" i="2"/>
  <c r="M441" i="2" s="1"/>
  <c r="M443" i="2"/>
  <c r="M85" i="2"/>
  <c r="I176" i="2"/>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P148" i="2" s="1"/>
  <c r="M148" i="2"/>
  <c r="V128" i="2"/>
  <c r="V130" i="2" s="1"/>
  <c r="V132" i="2" s="1"/>
  <c r="V134" i="2" s="1"/>
  <c r="V136" i="2" s="1"/>
  <c r="V138" i="2" s="1"/>
  <c r="M134" i="2"/>
  <c r="M216" i="2"/>
  <c r="M217" i="2"/>
  <c r="M212" i="2"/>
  <c r="I170" i="2"/>
  <c r="M175" i="2"/>
  <c r="H174" i="2"/>
  <c r="J174" i="2" s="1"/>
  <c r="M177" i="2"/>
  <c r="M156" i="2"/>
  <c r="M155" i="2"/>
  <c r="M149" i="2"/>
  <c r="M153" i="2"/>
  <c r="H172" i="2"/>
  <c r="J172" i="2" s="1"/>
  <c r="M152" i="2"/>
  <c r="I174" i="2"/>
  <c r="M110" i="2"/>
  <c r="P212" i="2"/>
  <c r="I84" i="2"/>
  <c r="M89" i="2"/>
  <c r="M219" i="2"/>
  <c r="I105" i="2"/>
  <c r="M169" i="2"/>
  <c r="M176" i="2"/>
  <c r="H105" i="2"/>
  <c r="H168" i="2"/>
  <c r="M111" i="2"/>
  <c r="M90" i="2"/>
  <c r="M86" i="2"/>
  <c r="M92" i="2"/>
  <c r="H84" i="2"/>
  <c r="M91" i="2"/>
  <c r="M93" i="2"/>
  <c r="P86" i="2"/>
  <c r="P85" i="2" s="1"/>
  <c r="I147" i="2"/>
  <c r="M131" i="2"/>
  <c r="I172" i="2"/>
  <c r="H170" i="2"/>
  <c r="M107" i="2"/>
  <c r="M113" i="2"/>
  <c r="M64" i="2"/>
  <c r="M70" i="2"/>
  <c r="M72" i="2"/>
  <c r="H63" i="2"/>
  <c r="M69" i="2"/>
  <c r="M71" i="2"/>
  <c r="H126" i="2"/>
  <c r="M112" i="2"/>
  <c r="P107" i="2"/>
  <c r="P106" i="2" s="1"/>
  <c r="M106" i="2"/>
  <c r="M114" i="2"/>
  <c r="M135" i="2"/>
  <c r="M128" i="2"/>
  <c r="M133" i="2"/>
  <c r="M127" i="2"/>
  <c r="M132" i="2"/>
  <c r="M50" i="2"/>
  <c r="AA44" i="2"/>
  <c r="AA46" i="2" s="1"/>
  <c r="AA48" i="2" s="1"/>
  <c r="AA50" i="2" s="1"/>
  <c r="AA52" i="2" s="1"/>
  <c r="AA54" i="2" s="1"/>
  <c r="M44" i="2"/>
  <c r="T46" i="2"/>
  <c r="T48" i="2" s="1"/>
  <c r="T50" i="2" s="1"/>
  <c r="T52" i="2" s="1"/>
  <c r="T54" i="2" s="1"/>
  <c r="M23" i="13"/>
  <c r="I443" i="2" l="1"/>
  <c r="M47" i="2"/>
  <c r="I42" i="2"/>
  <c r="Q44" i="2"/>
  <c r="R65" i="2"/>
  <c r="P65" i="2"/>
  <c r="P64" i="2" s="1"/>
  <c r="M43" i="2"/>
  <c r="Q86" i="2"/>
  <c r="Q85" i="2" s="1"/>
  <c r="R44" i="2"/>
  <c r="R86" i="2"/>
  <c r="R85" i="2"/>
  <c r="R64" i="2"/>
  <c r="M68" i="2"/>
  <c r="Q65" i="2"/>
  <c r="Q64" i="2" s="1"/>
  <c r="I63" i="2"/>
  <c r="M49" i="2"/>
  <c r="M51" i="2"/>
  <c r="P44" i="2"/>
  <c r="Q43" i="2"/>
  <c r="P43" i="2"/>
  <c r="R107" i="2"/>
  <c r="Q106" i="2"/>
  <c r="I126" i="2"/>
  <c r="R128" i="2"/>
  <c r="Q128" i="2"/>
  <c r="Q127" i="2" s="1"/>
  <c r="P127" i="2"/>
  <c r="Q149" i="2"/>
  <c r="Q148" i="2" s="1"/>
  <c r="R149" i="2"/>
  <c r="H149" i="2" s="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H44" i="2" l="1"/>
  <c r="H128" i="2"/>
  <c r="Q88" i="2"/>
  <c r="P88" i="2"/>
  <c r="P87" i="2" s="1"/>
  <c r="Q67" i="2"/>
  <c r="R88" i="2"/>
  <c r="R43" i="2"/>
  <c r="I44" i="2" s="1"/>
  <c r="R87" i="2"/>
  <c r="Q87" i="2"/>
  <c r="Q90" i="2" s="1"/>
  <c r="I86" i="2"/>
  <c r="R67" i="2"/>
  <c r="Q66" i="2"/>
  <c r="I65" i="2"/>
  <c r="P67" i="2"/>
  <c r="P66" i="2" s="1"/>
  <c r="P46" i="2"/>
  <c r="P45" i="2" s="1"/>
  <c r="Q46" i="2"/>
  <c r="R106" i="2"/>
  <c r="P109" i="2" s="1"/>
  <c r="P108" i="2" s="1"/>
  <c r="H107" i="2"/>
  <c r="I107" i="2"/>
  <c r="R127" i="2"/>
  <c r="Q130" i="2" s="1"/>
  <c r="Q129" i="2" s="1"/>
  <c r="R148" i="2"/>
  <c r="P151" i="2" s="1"/>
  <c r="M822" i="2"/>
  <c r="M1137" i="2"/>
  <c r="M990" i="2"/>
  <c r="M927" i="2"/>
  <c r="M1032" i="2"/>
  <c r="M1851" i="2"/>
  <c r="M1935" i="2"/>
  <c r="M717" i="2"/>
  <c r="M864" i="2"/>
  <c r="M1830" i="2"/>
  <c r="M570" i="2"/>
  <c r="M1221" i="2"/>
  <c r="J863"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262" i="2"/>
  <c r="H260" i="2"/>
  <c r="J260" i="2" s="1"/>
  <c r="I260" i="2"/>
  <c r="P953" i="2"/>
  <c r="H951" i="2"/>
  <c r="J951" i="2" s="1"/>
  <c r="I951" i="2"/>
  <c r="P405" i="2"/>
  <c r="H403" i="2"/>
  <c r="J403" i="2" s="1"/>
  <c r="I403" i="2"/>
  <c r="J2039" i="2"/>
  <c r="M2040" i="2"/>
  <c r="J65" i="2"/>
  <c r="P1917" i="2"/>
  <c r="H1915" i="2"/>
  <c r="J1915" i="2" s="1"/>
  <c r="I1915" i="2"/>
  <c r="J1892" i="2"/>
  <c r="M1893" i="2"/>
  <c r="J905" i="2"/>
  <c r="M906"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H88" i="2"/>
  <c r="J88" i="2" s="1"/>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R109" i="2" l="1"/>
  <c r="J107" i="2"/>
  <c r="R46" i="2"/>
  <c r="I149" i="2"/>
  <c r="R90" i="2"/>
  <c r="Q89" i="2"/>
  <c r="I88" i="2"/>
  <c r="P90" i="2"/>
  <c r="P89" i="2" s="1"/>
  <c r="R66" i="2"/>
  <c r="I67" i="2" s="1"/>
  <c r="H67" i="2"/>
  <c r="J67" i="2" s="1"/>
  <c r="Q45" i="2"/>
  <c r="R108" i="2"/>
  <c r="Q109" i="2"/>
  <c r="H109" i="2" s="1"/>
  <c r="J109" i="2" s="1"/>
  <c r="I128" i="2"/>
  <c r="P130" i="2"/>
  <c r="R130" i="2"/>
  <c r="P150" i="2"/>
  <c r="Q151" i="2"/>
  <c r="Q150" i="2" s="1"/>
  <c r="R151"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04"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M1663" i="2"/>
  <c r="H216" i="2"/>
  <c r="P218" i="2"/>
  <c r="I216"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H16" i="2" s="1"/>
  <c r="Q69" i="2" l="1"/>
  <c r="Q68" i="2" s="1"/>
  <c r="R69" i="2"/>
  <c r="H90" i="2"/>
  <c r="H151" i="2"/>
  <c r="J151" i="2" s="1"/>
  <c r="P69" i="2"/>
  <c r="P68" i="2" s="1"/>
  <c r="R45" i="2"/>
  <c r="R48" i="2" s="1"/>
  <c r="R47" i="2" s="1"/>
  <c r="H46" i="2"/>
  <c r="J46" i="2" s="1"/>
  <c r="R89" i="2"/>
  <c r="I90" i="2" s="1"/>
  <c r="J90" i="2"/>
  <c r="R68" i="2"/>
  <c r="Q71" i="2" s="1"/>
  <c r="Q48" i="2"/>
  <c r="I46" i="2"/>
  <c r="P48" i="2"/>
  <c r="P47" i="2" s="1"/>
  <c r="Q108" i="2"/>
  <c r="Q111" i="2" s="1"/>
  <c r="Q110" i="2" s="1"/>
  <c r="P129" i="2"/>
  <c r="H130" i="2"/>
  <c r="J130" i="2" s="1"/>
  <c r="R129" i="2"/>
  <c r="R150" i="2"/>
  <c r="P153"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H1331" i="2"/>
  <c r="J1331" i="2" s="1"/>
  <c r="P1333" i="2"/>
  <c r="I1331"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S21" i="2" s="1"/>
  <c r="T19" i="2"/>
  <c r="U19" i="2"/>
  <c r="R132" i="2" l="1"/>
  <c r="I151" i="2"/>
  <c r="R153" i="2"/>
  <c r="R21" i="2"/>
  <c r="Q153" i="2"/>
  <c r="Q152" i="2" s="1"/>
  <c r="P132" i="2"/>
  <c r="P131" i="2" s="1"/>
  <c r="H48" i="2"/>
  <c r="H69" i="2"/>
  <c r="J69" i="2" s="1"/>
  <c r="P92" i="2"/>
  <c r="R92" i="2"/>
  <c r="Q92" i="2"/>
  <c r="Q91" i="2" s="1"/>
  <c r="Q70" i="2"/>
  <c r="I69" i="2"/>
  <c r="P71" i="2"/>
  <c r="R71" i="2"/>
  <c r="Q47" i="2"/>
  <c r="Q50" i="2" s="1"/>
  <c r="Q49" i="2" s="1"/>
  <c r="J48" i="2"/>
  <c r="I109" i="2"/>
  <c r="P111" i="2"/>
  <c r="R111" i="2"/>
  <c r="R131" i="2"/>
  <c r="I130" i="2"/>
  <c r="Q132" i="2"/>
  <c r="Q131" i="2" s="1"/>
  <c r="P134" i="2" s="1"/>
  <c r="P133" i="2" s="1"/>
  <c r="P152" i="2"/>
  <c r="H153" i="2"/>
  <c r="J153" i="2" s="1"/>
  <c r="R152"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I48" i="2" l="1"/>
  <c r="R50" i="2"/>
  <c r="H132" i="2"/>
  <c r="J132" i="2" s="1"/>
  <c r="Q155" i="2"/>
  <c r="P50" i="2"/>
  <c r="R91" i="2"/>
  <c r="P91" i="2"/>
  <c r="Q94" i="2" s="1"/>
  <c r="Q93" i="2" s="1"/>
  <c r="H92" i="2"/>
  <c r="J92" i="2" s="1"/>
  <c r="R70" i="2"/>
  <c r="P70" i="2"/>
  <c r="H71" i="2"/>
  <c r="J71" i="2" s="1"/>
  <c r="R49" i="2"/>
  <c r="P49" i="2"/>
  <c r="R52" i="2" s="1"/>
  <c r="H50" i="2"/>
  <c r="R110" i="2"/>
  <c r="P110" i="2"/>
  <c r="H111" i="2"/>
  <c r="J111" i="2" s="1"/>
  <c r="Q134" i="2"/>
  <c r="Q133" i="2" s="1"/>
  <c r="R134" i="2"/>
  <c r="I132" i="2"/>
  <c r="Q154" i="2"/>
  <c r="I153" i="2"/>
  <c r="R155" i="2"/>
  <c r="P155"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R113" i="2" l="1"/>
  <c r="R73" i="2"/>
  <c r="I92" i="2"/>
  <c r="P94" i="2"/>
  <c r="R94" i="2"/>
  <c r="R72" i="2"/>
  <c r="I71" i="2"/>
  <c r="Q73" i="2"/>
  <c r="Q72" i="2" s="1"/>
  <c r="P73" i="2"/>
  <c r="M66" i="2"/>
  <c r="M63" i="2" s="1"/>
  <c r="M57" i="2" s="1"/>
  <c r="R51" i="2"/>
  <c r="I50" i="2"/>
  <c r="Q52" i="2"/>
  <c r="J50" i="2"/>
  <c r="P52" i="2"/>
  <c r="R112" i="2"/>
  <c r="I111" i="2"/>
  <c r="Q113" i="2"/>
  <c r="P113" i="2"/>
  <c r="R133" i="2"/>
  <c r="H134" i="2"/>
  <c r="J134" i="2" s="1"/>
  <c r="P154" i="2"/>
  <c r="H155" i="2"/>
  <c r="J155" i="2" s="1"/>
  <c r="R154"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T1315" i="2"/>
  <c r="X1063" i="2"/>
  <c r="Z1567" i="2"/>
  <c r="U1420" i="2"/>
  <c r="AC1168" i="2"/>
  <c r="M1054" i="2"/>
  <c r="AF1063" i="2"/>
  <c r="AF1567" i="2"/>
  <c r="W1567" i="2"/>
  <c r="AD1567" i="2"/>
  <c r="M1978" i="2"/>
  <c r="M235" i="2"/>
  <c r="AH1567" i="2"/>
  <c r="W1168" i="2"/>
  <c r="R1063" i="2"/>
  <c r="W979" i="2"/>
  <c r="P1063" i="2"/>
  <c r="U1882" i="2"/>
  <c r="AH1063" i="2"/>
  <c r="U286" i="2"/>
  <c r="T979" i="2"/>
  <c r="AC1063" i="2"/>
  <c r="AI286" i="2"/>
  <c r="V1987" i="2"/>
  <c r="AE1987" i="2"/>
  <c r="V1882" i="2"/>
  <c r="AG1420" i="2"/>
  <c r="W1420" i="2"/>
  <c r="M1999" i="2"/>
  <c r="AA1021" i="2"/>
  <c r="AF1294" i="2"/>
  <c r="Y1168" i="2"/>
  <c r="S685" i="2"/>
  <c r="AA1735" i="2"/>
  <c r="AE1294" i="2"/>
  <c r="V685" i="2"/>
  <c r="M1048"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V286" i="2"/>
  <c r="M1768" i="2"/>
  <c r="M466" i="2"/>
  <c r="V2071" i="2"/>
  <c r="E3" i="10"/>
  <c r="R157" i="2" l="1"/>
  <c r="I155" i="2"/>
  <c r="R93" i="2"/>
  <c r="P93" i="2"/>
  <c r="H94" i="2"/>
  <c r="P72" i="2"/>
  <c r="P75" i="2" s="1"/>
  <c r="H73" i="2"/>
  <c r="J73" i="2" s="1"/>
  <c r="Q51" i="2"/>
  <c r="P51" i="2"/>
  <c r="H52" i="2"/>
  <c r="Q112" i="2"/>
  <c r="P112" i="2"/>
  <c r="H113" i="2"/>
  <c r="J113" i="2" s="1"/>
  <c r="I134" i="2"/>
  <c r="Q136" i="2"/>
  <c r="Q135" i="2" s="1"/>
  <c r="P136" i="2"/>
  <c r="R136" i="2"/>
  <c r="R156" i="2"/>
  <c r="P157" i="2"/>
  <c r="Q157"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R96" i="2" l="1"/>
  <c r="R95" i="2" s="1"/>
  <c r="P115" i="2"/>
  <c r="J94" i="2"/>
  <c r="Q96" i="2"/>
  <c r="Q95" i="2" s="1"/>
  <c r="I94" i="2"/>
  <c r="P96" i="2"/>
  <c r="P74" i="2"/>
  <c r="I73" i="2"/>
  <c r="R75" i="2"/>
  <c r="R74" i="2" s="1"/>
  <c r="Q75" i="2"/>
  <c r="Q74" i="2" s="1"/>
  <c r="I52" i="2"/>
  <c r="R54" i="2"/>
  <c r="R53" i="2" s="1"/>
  <c r="Q54" i="2"/>
  <c r="Q53" i="2" s="1"/>
  <c r="J52" i="2"/>
  <c r="P54" i="2"/>
  <c r="I113" i="2"/>
  <c r="R115" i="2"/>
  <c r="Q115" i="2"/>
  <c r="Q114" i="2" s="1"/>
  <c r="P114" i="2"/>
  <c r="M108" i="2"/>
  <c r="M105" i="2" s="1"/>
  <c r="M99" i="2" s="1"/>
  <c r="M109" i="2"/>
  <c r="R135" i="2"/>
  <c r="P135" i="2"/>
  <c r="H136" i="2"/>
  <c r="J136" i="2" s="1"/>
  <c r="P156" i="2"/>
  <c r="H157" i="2"/>
  <c r="Q156" i="2"/>
  <c r="U20" i="2"/>
  <c r="P20" i="2"/>
  <c r="Q20" i="2"/>
  <c r="R20" i="2"/>
  <c r="R138" i="2" l="1"/>
  <c r="R137" i="2" s="1"/>
  <c r="P138" i="2"/>
  <c r="H115" i="2"/>
  <c r="J115" i="2" s="1"/>
  <c r="P159" i="2"/>
  <c r="P95" i="2"/>
  <c r="I96" i="2" s="1"/>
  <c r="H96" i="2"/>
  <c r="I75" i="2"/>
  <c r="H75" i="2"/>
  <c r="J75" i="2" s="1"/>
  <c r="P53" i="2"/>
  <c r="I54" i="2" s="1"/>
  <c r="H54" i="2"/>
  <c r="R114" i="2"/>
  <c r="P117" i="2" s="1"/>
  <c r="I136" i="2"/>
  <c r="Q138" i="2"/>
  <c r="Q137" i="2" s="1"/>
  <c r="P137" i="2"/>
  <c r="I157" i="2"/>
  <c r="R159" i="2"/>
  <c r="R158" i="2" s="1"/>
  <c r="Q159" i="2"/>
  <c r="Q158" i="2" s="1"/>
  <c r="J157" i="2"/>
  <c r="V20" i="2"/>
  <c r="P158" i="2" l="1"/>
  <c r="J96" i="2"/>
  <c r="M88" i="2"/>
  <c r="M84" i="2" s="1"/>
  <c r="M78" i="2" s="1"/>
  <c r="M87" i="2"/>
  <c r="AG76" i="2"/>
  <c r="U76" i="2"/>
  <c r="W76" i="2"/>
  <c r="X76" i="2"/>
  <c r="AA76" i="2"/>
  <c r="Y76" i="2"/>
  <c r="Q76" i="2"/>
  <c r="M61" i="2"/>
  <c r="R76" i="2"/>
  <c r="Z76" i="2"/>
  <c r="AE76" i="2"/>
  <c r="T76" i="2"/>
  <c r="AB76" i="2"/>
  <c r="AC76" i="2"/>
  <c r="AD76" i="2"/>
  <c r="AH76" i="2"/>
  <c r="V76" i="2"/>
  <c r="S76" i="2"/>
  <c r="P76" i="2"/>
  <c r="AF76" i="2"/>
  <c r="AI76" i="2"/>
  <c r="J54" i="2"/>
  <c r="M46" i="2"/>
  <c r="M45" i="2"/>
  <c r="M42" i="2" s="1"/>
  <c r="M36" i="2" s="1"/>
  <c r="P116" i="2"/>
  <c r="R117" i="2"/>
  <c r="R116" i="2" s="1"/>
  <c r="Q117" i="2"/>
  <c r="Q116" i="2" s="1"/>
  <c r="I115" i="2"/>
  <c r="I138" i="2"/>
  <c r="H138" i="2"/>
  <c r="H159" i="2"/>
  <c r="B5" i="12"/>
  <c r="E3" i="12"/>
  <c r="I159" i="2" l="1"/>
  <c r="AH97" i="2"/>
  <c r="Y97" i="2"/>
  <c r="S97" i="2"/>
  <c r="AA97" i="2"/>
  <c r="W97" i="2"/>
  <c r="T97" i="2"/>
  <c r="AG97" i="2"/>
  <c r="R97" i="2"/>
  <c r="AF97" i="2"/>
  <c r="AB97" i="2"/>
  <c r="Q97" i="2"/>
  <c r="AI97" i="2"/>
  <c r="AC97" i="2"/>
  <c r="AD97" i="2"/>
  <c r="V97" i="2"/>
  <c r="AE97" i="2"/>
  <c r="P97" i="2"/>
  <c r="M82" i="2"/>
  <c r="Z97" i="2"/>
  <c r="X97" i="2"/>
  <c r="U97" i="2"/>
  <c r="R55" i="2"/>
  <c r="AF55" i="2"/>
  <c r="AA55" i="2"/>
  <c r="AC55" i="2"/>
  <c r="AB55" i="2"/>
  <c r="M40" i="2"/>
  <c r="AI55" i="2"/>
  <c r="Q55" i="2"/>
  <c r="T55" i="2"/>
  <c r="V55" i="2"/>
  <c r="AH55" i="2"/>
  <c r="AE55" i="2"/>
  <c r="W55" i="2"/>
  <c r="U55" i="2"/>
  <c r="P55" i="2"/>
  <c r="AD55" i="2"/>
  <c r="Z55" i="2"/>
  <c r="Y55" i="2"/>
  <c r="X55" i="2"/>
  <c r="AG55" i="2"/>
  <c r="S55" i="2"/>
  <c r="I117" i="2"/>
  <c r="H117" i="2"/>
  <c r="J117" i="2" s="1"/>
  <c r="M129" i="2"/>
  <c r="M130" i="2"/>
  <c r="J138" i="2"/>
  <c r="J159" i="2"/>
  <c r="M150" i="2"/>
  <c r="M147" i="2" s="1"/>
  <c r="M141" i="2" s="1"/>
  <c r="M151" i="2"/>
  <c r="S20" i="2"/>
  <c r="T20" i="2"/>
  <c r="Z20" i="2"/>
  <c r="AA20" i="2"/>
  <c r="AB20" i="2"/>
  <c r="AC20" i="2"/>
  <c r="AD20" i="2"/>
  <c r="AE20" i="2"/>
  <c r="AF20" i="2"/>
  <c r="AG20" i="2"/>
  <c r="AH20" i="2"/>
  <c r="AI20" i="2"/>
  <c r="M126" i="2" l="1"/>
  <c r="M120" i="2" s="1"/>
  <c r="M103" i="2"/>
  <c r="Y118" i="2"/>
  <c r="R118" i="2"/>
  <c r="W118" i="2"/>
  <c r="Z118" i="2"/>
  <c r="AG118" i="2"/>
  <c r="AA118" i="2"/>
  <c r="S118" i="2"/>
  <c r="AH118" i="2"/>
  <c r="AD118" i="2"/>
  <c r="U118" i="2"/>
  <c r="V118" i="2"/>
  <c r="Q118" i="2"/>
  <c r="AI118" i="2"/>
  <c r="P118" i="2"/>
  <c r="AB118" i="2"/>
  <c r="AC118" i="2"/>
  <c r="X118" i="2"/>
  <c r="AF118" i="2"/>
  <c r="AE118" i="2"/>
  <c r="T118" i="2"/>
  <c r="AF139" i="2"/>
  <c r="R139" i="2"/>
  <c r="AG139" i="2"/>
  <c r="AB139" i="2"/>
  <c r="X139" i="2"/>
  <c r="V139" i="2"/>
  <c r="T139" i="2"/>
  <c r="AC139" i="2"/>
  <c r="Z139" i="2"/>
  <c r="Q139" i="2"/>
  <c r="AA139" i="2"/>
  <c r="AH139" i="2"/>
  <c r="Y139" i="2"/>
  <c r="W139" i="2"/>
  <c r="AD139" i="2"/>
  <c r="P139" i="2"/>
  <c r="S139" i="2"/>
  <c r="AI139" i="2"/>
  <c r="AE139" i="2"/>
  <c r="M124" i="2"/>
  <c r="U139" i="2"/>
  <c r="Y160" i="2"/>
  <c r="P160" i="2"/>
  <c r="AA160" i="2"/>
  <c r="AE160" i="2"/>
  <c r="AB160" i="2"/>
  <c r="AI160" i="2"/>
  <c r="AH160" i="2"/>
  <c r="AD160" i="2"/>
  <c r="AC160" i="2"/>
  <c r="M145" i="2"/>
  <c r="U160" i="2"/>
  <c r="V160" i="2"/>
  <c r="W160" i="2"/>
  <c r="R160" i="2"/>
  <c r="Z160" i="2"/>
  <c r="T160" i="2"/>
  <c r="S160" i="2"/>
  <c r="AG160" i="2"/>
  <c r="Q160" i="2"/>
  <c r="X160" i="2"/>
  <c r="AF160" i="2"/>
  <c r="E3" i="1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H37"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H58" i="2" s="1"/>
  <c r="R27" i="2"/>
  <c r="R26" i="2" s="1"/>
  <c r="S27" i="2"/>
  <c r="S26" i="2" s="1"/>
  <c r="P27" i="2"/>
  <c r="Q27" i="2"/>
  <c r="Q26" i="2" s="1"/>
  <c r="I25" i="2"/>
  <c r="C57" i="2" l="1"/>
  <c r="H57" i="2"/>
  <c r="J57" i="2"/>
  <c r="B58" i="2"/>
  <c r="B59" i="2" s="1"/>
  <c r="H27" i="2"/>
  <c r="J27" i="2" s="1"/>
  <c r="P26" i="2"/>
  <c r="S29" i="2" s="1"/>
  <c r="S28" i="2" s="1"/>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H79" i="2" s="1"/>
  <c r="Q31" i="2"/>
  <c r="Q30" i="2" s="1"/>
  <c r="S31" i="2"/>
  <c r="S30" i="2" s="1"/>
  <c r="R31" i="2"/>
  <c r="R30" i="2" s="1"/>
  <c r="P31" i="2"/>
  <c r="P30" i="2" s="1"/>
  <c r="I29" i="2"/>
  <c r="H29" i="2"/>
  <c r="J29" i="2" s="1"/>
  <c r="H78" i="2" l="1"/>
  <c r="C78" i="2"/>
  <c r="J78"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H100" i="2" s="1"/>
  <c r="M97"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H121" i="2" s="1"/>
  <c r="C5" i="12"/>
  <c r="B6" i="12" s="1"/>
  <c r="C6" i="12" s="1"/>
  <c r="B7" i="12" s="1"/>
  <c r="B6" i="11"/>
  <c r="C120" i="2" l="1"/>
  <c r="H120" i="2"/>
  <c r="J120" i="2"/>
  <c r="B121" i="2"/>
  <c r="B122" i="2" s="1"/>
  <c r="C6" i="11"/>
  <c r="C7" i="12"/>
  <c r="B8" i="12" s="1"/>
  <c r="B123" i="2" l="1"/>
  <c r="B124" i="2"/>
  <c r="E124" i="2"/>
  <c r="C121" i="2"/>
  <c r="C122" i="2" s="1"/>
  <c r="D120" i="2"/>
  <c r="C8" i="12"/>
  <c r="G6" i="11"/>
  <c r="I6" i="11"/>
  <c r="L6" i="11"/>
  <c r="B7" i="11"/>
  <c r="F6" i="11"/>
  <c r="H6" i="11"/>
  <c r="M139" i="2" l="1"/>
  <c r="B125" i="2"/>
  <c r="B126" i="2" s="1"/>
  <c r="B127" i="2" s="1"/>
  <c r="B128" i="2" s="1"/>
  <c r="B129" i="2" s="1"/>
  <c r="B130" i="2" s="1"/>
  <c r="B131" i="2" s="1"/>
  <c r="B132" i="2" s="1"/>
  <c r="B133" i="2" s="1"/>
  <c r="B134" i="2" s="1"/>
  <c r="B135" i="2" s="1"/>
  <c r="B136" i="2" s="1"/>
  <c r="B137" i="2" s="1"/>
  <c r="B138" i="2" s="1"/>
  <c r="B139" i="2" s="1"/>
  <c r="B141" i="2" s="1"/>
  <c r="H142"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1" i="2"/>
  <c r="J141" i="2"/>
  <c r="F7" i="11"/>
  <c r="I7" i="11"/>
  <c r="L7" i="11"/>
  <c r="G7" i="11"/>
  <c r="H7" i="11"/>
  <c r="B8" i="11"/>
  <c r="B144" i="2" l="1"/>
  <c r="B145" i="2"/>
  <c r="D141" i="2"/>
  <c r="E145" i="2"/>
  <c r="C142" i="2"/>
  <c r="C143" i="2" s="1"/>
  <c r="G8" i="12"/>
  <c r="C8" i="11"/>
  <c r="B146" i="2" l="1"/>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O8" i="12" l="1"/>
  <c r="U8" i="12"/>
  <c r="AA8" i="12"/>
  <c r="AE8" i="12"/>
  <c r="AC8" i="12"/>
  <c r="AG8" i="12"/>
  <c r="W8" i="12"/>
  <c r="S8" i="12"/>
  <c r="AK8" i="12"/>
  <c r="Y8" i="12"/>
  <c r="AI8" i="12"/>
  <c r="Q8" i="12"/>
  <c r="D10" i="12"/>
  <c r="C10" i="12"/>
  <c r="D10" i="11"/>
  <c r="C10" i="11"/>
  <c r="AH9" i="12"/>
  <c r="P9" i="12"/>
  <c r="AB9" i="12"/>
  <c r="AD9" i="12"/>
  <c r="T9" i="12"/>
  <c r="K9" i="12"/>
  <c r="Z9" i="12"/>
  <c r="N9" i="12"/>
  <c r="X9" i="12"/>
  <c r="AF9" i="12"/>
  <c r="R9" i="12"/>
  <c r="AJ9" i="12"/>
  <c r="AG9" i="12" l="1"/>
  <c r="Y9" i="12"/>
  <c r="AI9" i="12"/>
  <c r="AK9" i="12"/>
  <c r="O9" i="12"/>
  <c r="AE9" i="12"/>
  <c r="U9" i="12"/>
  <c r="S9" i="12"/>
  <c r="AA9" i="12"/>
  <c r="AC9" i="12"/>
  <c r="Q9" i="12"/>
  <c r="B11" i="12"/>
  <c r="G10" i="12"/>
  <c r="F10" i="12"/>
  <c r="I10" i="12"/>
  <c r="H10" i="12"/>
  <c r="J10" i="12"/>
  <c r="L10" i="11"/>
  <c r="I10" i="11"/>
  <c r="H10" i="11"/>
  <c r="G10" i="11"/>
  <c r="F10" i="11"/>
  <c r="B11" i="11"/>
  <c r="C11" i="11" s="1"/>
  <c r="C11" i="12" l="1"/>
  <c r="D11" i="12"/>
  <c r="F11" i="11"/>
  <c r="I11" i="11"/>
  <c r="L11" i="11"/>
  <c r="G11" i="11"/>
  <c r="H11" i="11"/>
  <c r="D11" i="11"/>
  <c r="E11" i="11" s="1"/>
  <c r="K10" i="12"/>
  <c r="V9" i="12" s="1"/>
  <c r="W9" i="12" s="1"/>
  <c r="B12" i="12"/>
  <c r="C12" i="12" s="1"/>
  <c r="H11" i="12"/>
  <c r="G11" i="12"/>
  <c r="F11" i="12"/>
  <c r="AH10" i="12"/>
  <c r="AF10" i="12"/>
  <c r="AG10" i="12" s="1"/>
  <c r="AD10" i="12"/>
  <c r="AE10" i="12" s="1"/>
  <c r="AJ10" i="12"/>
  <c r="AK10" i="12" s="1"/>
  <c r="Z10" i="12"/>
  <c r="AA10" i="12" s="1"/>
  <c r="X10" i="12"/>
  <c r="AB10" i="12"/>
  <c r="J11" i="12"/>
  <c r="AB11" i="12" s="1"/>
  <c r="P10" i="12"/>
  <c r="R10" i="12" s="1"/>
  <c r="T10" i="12" s="1"/>
  <c r="V10" i="12" s="1"/>
  <c r="W10" i="12" s="1"/>
  <c r="B12" i="11"/>
  <c r="I11" i="12" l="1"/>
  <c r="E11" i="12"/>
  <c r="AC10" i="12"/>
  <c r="Y10" i="12"/>
  <c r="AI10" i="12"/>
  <c r="U10" i="12"/>
  <c r="Q10" i="12"/>
  <c r="S10" i="12"/>
  <c r="D12" i="12"/>
  <c r="AJ11" i="12"/>
  <c r="AH11" i="12"/>
  <c r="AD11" i="12"/>
  <c r="N11" i="12"/>
  <c r="B13" i="12"/>
  <c r="F12" i="12"/>
  <c r="I12" i="12"/>
  <c r="G12" i="12"/>
  <c r="H12" i="12"/>
  <c r="R11" i="12"/>
  <c r="V11" i="12"/>
  <c r="P11" i="12"/>
  <c r="T11" i="12"/>
  <c r="AF11" i="12"/>
  <c r="X11" i="12"/>
  <c r="J12" i="12"/>
  <c r="V12" i="12" s="1"/>
  <c r="Z11" i="12"/>
  <c r="C12" i="11"/>
  <c r="D12" i="11"/>
  <c r="K11" i="12" l="1"/>
  <c r="S11" i="12"/>
  <c r="AG11" i="12"/>
  <c r="U11" i="12"/>
  <c r="Y11" i="12"/>
  <c r="W11" i="12"/>
  <c r="AI11" i="12"/>
  <c r="Q11" i="12"/>
  <c r="O11" i="12"/>
  <c r="AK11" i="12"/>
  <c r="AE11" i="12"/>
  <c r="D13" i="12"/>
  <c r="T12" i="12"/>
  <c r="AB12" i="12"/>
  <c r="AJ12" i="12"/>
  <c r="C13" i="12"/>
  <c r="J13" i="12" s="1"/>
  <c r="N13" i="12" s="1"/>
  <c r="AH12" i="12"/>
  <c r="K12" i="12"/>
  <c r="P12" i="12"/>
  <c r="N12" i="12"/>
  <c r="R12" i="12"/>
  <c r="X12" i="12"/>
  <c r="L12" i="11"/>
  <c r="I12" i="11"/>
  <c r="G12" i="11"/>
  <c r="H12" i="11"/>
  <c r="F12" i="11"/>
  <c r="AF12" i="12"/>
  <c r="AD12" i="12"/>
  <c r="Z12" i="12"/>
  <c r="B13" i="11"/>
  <c r="AA11" i="12" l="1"/>
  <c r="AC11" i="12"/>
  <c r="AC12" i="12"/>
  <c r="W12" i="12"/>
  <c r="AE12" i="12"/>
  <c r="AA12" i="12"/>
  <c r="O12" i="12"/>
  <c r="AG12" i="12"/>
  <c r="U12" i="12"/>
  <c r="Y12" i="12"/>
  <c r="AI12" i="12"/>
  <c r="S12" i="12"/>
  <c r="Q12" i="12"/>
  <c r="AK12" i="12"/>
  <c r="B14" i="12"/>
  <c r="D14" i="12" s="1"/>
  <c r="E13" i="12"/>
  <c r="F13" i="12"/>
  <c r="H13" i="12"/>
  <c r="I13" i="12"/>
  <c r="K13" i="12" s="1"/>
  <c r="G13" i="12"/>
  <c r="AD13" i="12"/>
  <c r="Z13" i="12"/>
  <c r="AF13" i="12"/>
  <c r="AB13" i="12"/>
  <c r="P13" i="12"/>
  <c r="X13" i="12"/>
  <c r="C14" i="12"/>
  <c r="J14" i="12" s="1"/>
  <c r="T13" i="12"/>
  <c r="R13" i="12"/>
  <c r="V13" i="12"/>
  <c r="AJ13" i="12"/>
  <c r="AH13" i="12"/>
  <c r="D13" i="11"/>
  <c r="C13" i="11"/>
  <c r="O13" i="12" l="1"/>
  <c r="AG13" i="12"/>
  <c r="AI13" i="12"/>
  <c r="Y13" i="12"/>
  <c r="AA13" i="12"/>
  <c r="AK13" i="12"/>
  <c r="U13" i="12"/>
  <c r="Q13" i="12"/>
  <c r="AE13" i="12"/>
  <c r="W13" i="12"/>
  <c r="AC13" i="12"/>
  <c r="S13" i="12"/>
  <c r="Z14" i="12"/>
  <c r="N14" i="12"/>
  <c r="AF14" i="12"/>
  <c r="R14" i="12"/>
  <c r="P14" i="12"/>
  <c r="AH14" i="12"/>
  <c r="AB14" i="12"/>
  <c r="G13" i="11"/>
  <c r="F13" i="11"/>
  <c r="E13" i="11"/>
  <c r="H13" i="11"/>
  <c r="L13" i="11"/>
  <c r="I13" i="11"/>
  <c r="V14" i="12"/>
  <c r="X14" i="12"/>
  <c r="B15" i="12"/>
  <c r="D15" i="12" s="1"/>
  <c r="E14" i="12"/>
  <c r="H14" i="12"/>
  <c r="I14" i="12"/>
  <c r="K14" i="12" s="1"/>
  <c r="F14" i="12"/>
  <c r="AJ14" i="12"/>
  <c r="T14" i="12"/>
  <c r="AD14" i="12"/>
  <c r="B14" i="11"/>
  <c r="G14" i="12" s="1"/>
  <c r="S14" i="12" l="1"/>
  <c r="AE14" i="12"/>
  <c r="O14" i="12"/>
  <c r="AC14" i="12"/>
  <c r="W14" i="12"/>
  <c r="AA14" i="12"/>
  <c r="Q14" i="12"/>
  <c r="AG14" i="12"/>
  <c r="AI14" i="12"/>
  <c r="Y14" i="12"/>
  <c r="U14" i="12"/>
  <c r="AK14" i="12"/>
  <c r="C15" i="12"/>
  <c r="B16" i="12" s="1"/>
  <c r="C14" i="11"/>
  <c r="D14" i="11"/>
  <c r="J15" i="12" l="1"/>
  <c r="D16" i="12"/>
  <c r="C16" i="12"/>
  <c r="E16" i="12" s="1"/>
  <c r="I15" i="12"/>
  <c r="H15" i="12"/>
  <c r="F15" i="12"/>
  <c r="G14" i="11"/>
  <c r="H14" i="11"/>
  <c r="I14" i="11"/>
  <c r="F14" i="11"/>
  <c r="L14" i="11"/>
  <c r="E14" i="11"/>
  <c r="B15" i="11"/>
  <c r="W15" i="12" l="1"/>
  <c r="K15" i="12"/>
  <c r="AC15" i="12"/>
  <c r="U15" i="12"/>
  <c r="L15" i="12"/>
  <c r="Q15" i="12"/>
  <c r="I16" i="12"/>
  <c r="F16" i="12"/>
  <c r="H16" i="12"/>
  <c r="B17" i="12"/>
  <c r="D17" i="12" s="1"/>
  <c r="J16" i="12"/>
  <c r="G15" i="12"/>
  <c r="D15" i="11"/>
  <c r="C15" i="11"/>
  <c r="C17" i="12" l="1"/>
  <c r="K16" i="12"/>
  <c r="Z15" i="12" s="1"/>
  <c r="B16" i="11"/>
  <c r="C16" i="11" s="1"/>
  <c r="H15" i="11"/>
  <c r="I15" i="11"/>
  <c r="L15" i="11"/>
  <c r="G15" i="11"/>
  <c r="F15" i="11"/>
  <c r="E17" i="12"/>
  <c r="F17" i="12"/>
  <c r="H17" i="12"/>
  <c r="I17" i="12"/>
  <c r="J17" i="12"/>
  <c r="AB15" i="12" l="1"/>
  <c r="AF15" i="12"/>
  <c r="AG15" i="12" s="1"/>
  <c r="X15" i="12"/>
  <c r="Y15" i="12" s="1"/>
  <c r="AA15" i="12"/>
  <c r="T15" i="12"/>
  <c r="AJ15" i="12"/>
  <c r="V15" i="12"/>
  <c r="AD15" i="12"/>
  <c r="P15" i="12"/>
  <c r="R15" i="12"/>
  <c r="AH15" i="12"/>
  <c r="B18" i="12"/>
  <c r="D16" i="11"/>
  <c r="C18" i="12"/>
  <c r="J18" i="12" s="1"/>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D18" i="12" l="1"/>
  <c r="AK15" i="12"/>
  <c r="AE15" i="12"/>
  <c r="S15" i="12"/>
  <c r="AI15" i="12"/>
  <c r="G17" i="12"/>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5"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10" i="12" l="1"/>
  <c r="N10" i="12" s="1"/>
  <c r="O10" i="12" s="1"/>
  <c r="O16" i="12" s="1"/>
  <c r="Q16" i="12" s="1"/>
  <c r="S16" i="12" s="1"/>
  <c r="U16" i="12" s="1"/>
  <c r="W16" i="12" s="1"/>
  <c r="Y16" i="12" s="1"/>
  <c r="AA16" i="12" s="1"/>
  <c r="AC16" i="12" s="1"/>
  <c r="AE16" i="12" s="1"/>
  <c r="AG16" i="12" s="1"/>
  <c r="AI16" i="12" s="1"/>
  <c r="AK16" i="12" s="1"/>
  <c r="L11" i="12"/>
  <c r="L14" i="12"/>
  <c r="L9" i="12"/>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O15" i="12" l="1"/>
  <c r="N15" i="12"/>
  <c r="L12" i="12"/>
  <c r="L13" i="12"/>
  <c r="B68" i="11"/>
  <c r="H67" i="11"/>
  <c r="G67" i="11"/>
  <c r="F67" i="11"/>
  <c r="L67" i="11"/>
  <c r="I67" i="11"/>
  <c r="L16" i="12" l="1"/>
  <c r="N16" i="12" s="1"/>
  <c r="P16" i="12" s="1"/>
  <c r="R16" i="12" s="1"/>
  <c r="T16" i="12" s="1"/>
  <c r="V16" i="12" s="1"/>
  <c r="X16" i="12" s="1"/>
  <c r="Z16" i="12" s="1"/>
  <c r="AB16" i="12" s="1"/>
  <c r="AD16" i="12" s="1"/>
  <c r="AF16" i="12" s="1"/>
  <c r="AH16" i="12" s="1"/>
  <c r="AJ16" i="12" s="1"/>
  <c r="D68" i="1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5"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16" i="11"/>
  <c r="K16" i="11" s="1"/>
  <c r="J7" i="11"/>
  <c r="J14" i="11"/>
  <c r="K14" i="11" s="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J15" i="11"/>
  <c r="J9" i="11"/>
  <c r="J10" i="11" s="1"/>
  <c r="K10" i="11" s="1"/>
  <c r="K107" i="11"/>
  <c r="K18" i="11"/>
  <c r="C74"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C77" i="10" l="1"/>
  <c r="C45" i="10"/>
  <c r="C38" i="10"/>
  <c r="K9" i="11"/>
  <c r="K15"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l="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s="1" a="1"/>
  <c r="H59" i="10" s="1"/>
  <c r="E14" i="10" l="1"/>
  <c r="E8" i="10"/>
  <c r="E41" i="10"/>
  <c r="E58" i="10"/>
  <c r="G58" i="10" s="1"/>
  <c r="E7" i="10"/>
  <c r="E64" i="10"/>
  <c r="E48" i="10"/>
  <c r="E44" i="10"/>
  <c r="H44" i="10" s="1" a="1"/>
  <c r="H44" i="10" s="1"/>
  <c r="E98" i="10"/>
  <c r="F59" i="10"/>
  <c r="E34" i="10"/>
  <c r="E21" i="10"/>
  <c r="E23" i="10"/>
  <c r="E45" i="10"/>
  <c r="E13" i="10"/>
  <c r="E69" i="10"/>
  <c r="I69" i="10" s="1"/>
  <c r="E92" i="10"/>
  <c r="E91" i="10"/>
  <c r="E11" i="10"/>
  <c r="E73" i="10"/>
  <c r="E99" i="10"/>
  <c r="E78" i="10"/>
  <c r="N78" i="10" s="1"/>
  <c r="E26" i="10"/>
  <c r="E37" i="10"/>
  <c r="G37" i="10" s="1"/>
  <c r="E86" i="10"/>
  <c r="E100" i="10"/>
  <c r="E29" i="10"/>
  <c r="E17" i="10"/>
  <c r="E70" i="10"/>
  <c r="E93" i="10"/>
  <c r="E97" i="10"/>
  <c r="E95" i="10"/>
  <c r="N95" i="10" s="1"/>
  <c r="E46" i="10"/>
  <c r="E96" i="10"/>
  <c r="I96" i="10" s="1"/>
  <c r="J59" i="10"/>
  <c r="K59" i="10" a="1"/>
  <c r="K59" i="10" s="1"/>
  <c r="E36" i="10"/>
  <c r="E15" i="10"/>
  <c r="E16" i="10"/>
  <c r="E55" i="10"/>
  <c r="F55" i="10" s="1"/>
  <c r="E77" i="10"/>
  <c r="E83" i="10"/>
  <c r="E40" i="10"/>
  <c r="E85" i="10"/>
  <c r="E105" i="10"/>
  <c r="E67" i="10"/>
  <c r="E60" i="10"/>
  <c r="E19" i="10"/>
  <c r="J19" i="10" s="1"/>
  <c r="E102" i="10"/>
  <c r="E66" i="10"/>
  <c r="E61" i="10"/>
  <c r="E79" i="10"/>
  <c r="E35" i="10"/>
  <c r="E53" i="10"/>
  <c r="E84" i="10"/>
  <c r="E50" i="10"/>
  <c r="H50" i="10" s="1" a="1"/>
  <c r="H50" i="10" s="1"/>
  <c r="E24" i="10"/>
  <c r="E51" i="10"/>
  <c r="G51" i="10" s="1"/>
  <c r="E38" i="10"/>
  <c r="E43" i="10"/>
  <c r="E75" i="10"/>
  <c r="E103" i="10"/>
  <c r="E12" i="10"/>
  <c r="E42" i="10"/>
  <c r="L42" i="10" s="1" a="1"/>
  <c r="L42" i="10" s="1"/>
  <c r="E18" i="10"/>
  <c r="E80" i="10"/>
  <c r="E22" i="10"/>
  <c r="E20" i="10"/>
  <c r="E71" i="10"/>
  <c r="G59" i="10"/>
  <c r="I59" i="10"/>
  <c r="E28" i="10"/>
  <c r="L28" i="10" s="1" a="1"/>
  <c r="L28" i="10" s="1"/>
  <c r="E25" i="10"/>
  <c r="E32" i="10"/>
  <c r="E57" i="10"/>
  <c r="E81" i="10"/>
  <c r="E10" i="10"/>
  <c r="E52" i="10"/>
  <c r="E65" i="10"/>
  <c r="E9" i="10"/>
  <c r="G9" i="10" s="1"/>
  <c r="E87" i="10"/>
  <c r="E90" i="10"/>
  <c r="E74" i="10"/>
  <c r="E56" i="10"/>
  <c r="E76" i="10"/>
  <c r="E94" i="10"/>
  <c r="E101" i="10"/>
  <c r="E30" i="10"/>
  <c r="K30" i="10" s="1" a="1"/>
  <c r="K30" i="10" s="1"/>
  <c r="E31" i="10"/>
  <c r="E33" i="10"/>
  <c r="E88" i="10"/>
  <c r="E49" i="10"/>
  <c r="H49" i="10" s="1" a="1"/>
  <c r="H49" i="10" s="1"/>
  <c r="E47" i="10"/>
  <c r="E82" i="10"/>
  <c r="E89" i="10"/>
  <c r="E39" i="10"/>
  <c r="I39" i="10" s="1"/>
  <c r="E54" i="10"/>
  <c r="E27" i="10"/>
  <c r="E72" i="10"/>
  <c r="E62" i="10"/>
  <c r="E104" i="10"/>
  <c r="E68" i="10"/>
  <c r="E6" i="10"/>
  <c r="E63" i="10"/>
  <c r="I63" i="10" s="1"/>
  <c r="N59" i="10"/>
  <c r="I14" i="10"/>
  <c r="N14" i="10"/>
  <c r="H14" i="10" a="1"/>
  <c r="H14" i="10" s="1"/>
  <c r="G14" i="10"/>
  <c r="F14" i="10"/>
  <c r="J14" i="10"/>
  <c r="K14" i="10" a="1"/>
  <c r="K14" i="10" s="1"/>
  <c r="I8" i="10"/>
  <c r="N8" i="10"/>
  <c r="H8" i="10" a="1"/>
  <c r="H8" i="10" s="1"/>
  <c r="L9" i="10" a="1"/>
  <c r="L9" i="10" s="1"/>
  <c r="K8" i="10" a="1"/>
  <c r="K8" i="10" s="1"/>
  <c r="J8" i="10"/>
  <c r="F8" i="10"/>
  <c r="G8" i="10"/>
  <c r="J41" i="10"/>
  <c r="H41" i="10" a="1"/>
  <c r="H41" i="10" s="1"/>
  <c r="N41" i="10"/>
  <c r="F41" i="10"/>
  <c r="G41" i="10"/>
  <c r="K41" i="10" a="1"/>
  <c r="K41" i="10" s="1"/>
  <c r="I41" i="10"/>
  <c r="L59" i="10" a="1"/>
  <c r="L59" i="10" s="1"/>
  <c r="H58" i="10" a="1"/>
  <c r="H58" i="10" s="1"/>
  <c r="F58" i="10"/>
  <c r="J58" i="10"/>
  <c r="N58" i="10"/>
  <c r="M59" i="10"/>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L45" i="10" a="1"/>
  <c r="L45" i="10" s="1"/>
  <c r="L99" i="10" a="1"/>
  <c r="L99" i="10" s="1"/>
  <c r="K25" i="10" a="1"/>
  <c r="K25" i="10" s="1"/>
  <c r="H25" i="10" a="1"/>
  <c r="H25" i="10" s="1"/>
  <c r="I25" i="10"/>
  <c r="F25" i="10"/>
  <c r="J25" i="10"/>
  <c r="G25" i="10"/>
  <c r="N25" i="10"/>
  <c r="G32" i="10"/>
  <c r="I32" i="10"/>
  <c r="K32" i="10" a="1"/>
  <c r="K32" i="10" s="1"/>
  <c r="H32" i="10" a="1"/>
  <c r="H32" i="10" s="1"/>
  <c r="J32" i="10"/>
  <c r="F32" i="10"/>
  <c r="N32" i="10"/>
  <c r="I57" i="10"/>
  <c r="J57"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L18" i="10" l="1" a="1"/>
  <c r="L18" i="10" s="1"/>
  <c r="M85" i="10"/>
  <c r="M81" i="10"/>
  <c r="L62" i="10" a="1"/>
  <c r="L62" i="10" s="1"/>
  <c r="F51" i="10"/>
  <c r="G23" i="10"/>
  <c r="H23" i="10" a="1"/>
  <c r="H23" i="10" s="1"/>
  <c r="F23" i="10"/>
  <c r="M24" i="10"/>
  <c r="J23" i="10"/>
  <c r="I23" i="10"/>
  <c r="L24" i="10" a="1"/>
  <c r="L24" i="10" s="1"/>
  <c r="N23" i="10"/>
  <c r="K23" i="10" a="1"/>
  <c r="K23" i="10" s="1"/>
  <c r="F11" i="10"/>
  <c r="G11" i="10"/>
  <c r="L12" i="10" a="1"/>
  <c r="L12" i="10" s="1"/>
  <c r="J11" i="10"/>
  <c r="I11" i="10"/>
  <c r="H11" i="10" a="1"/>
  <c r="H11" i="10" s="1"/>
  <c r="N11" i="10"/>
  <c r="K11" i="10" a="1"/>
  <c r="K11" i="10" s="1"/>
  <c r="G78" i="10"/>
  <c r="K86" i="10" a="1"/>
  <c r="K86" i="10" s="1"/>
  <c r="F86" i="10"/>
  <c r="J86" i="10"/>
  <c r="G86" i="10"/>
  <c r="M87" i="10"/>
  <c r="L87" i="10" a="1"/>
  <c r="L87" i="10" s="1"/>
  <c r="I86" i="10"/>
  <c r="H86" i="10" a="1"/>
  <c r="H86" i="10" s="1"/>
  <c r="N86" i="10"/>
  <c r="G97" i="10"/>
  <c r="H97" i="10" a="1"/>
  <c r="H97" i="10" s="1"/>
  <c r="M98" i="10"/>
  <c r="K97" i="10" a="1"/>
  <c r="K97" i="10" s="1"/>
  <c r="I97" i="10"/>
  <c r="N97" i="10"/>
  <c r="J97" i="10"/>
  <c r="M42" i="10"/>
  <c r="F97" i="10"/>
  <c r="L98" i="10" a="1"/>
  <c r="L98" i="10" s="1"/>
  <c r="H96" i="10" a="1"/>
  <c r="H96" i="10" s="1"/>
  <c r="F96" i="10"/>
  <c r="N96" i="10"/>
  <c r="K96" i="10" a="1"/>
  <c r="K96" i="10" s="1"/>
  <c r="M97" i="10"/>
  <c r="G96" i="10"/>
  <c r="L97" i="10" a="1"/>
  <c r="L97" i="10" s="1"/>
  <c r="N75" i="10"/>
  <c r="I75" i="10"/>
  <c r="G75" i="10"/>
  <c r="M76" i="10"/>
  <c r="J75" i="10"/>
  <c r="L76" i="10" a="1"/>
  <c r="L76" i="10" s="1"/>
  <c r="K75" i="10" a="1"/>
  <c r="K75" i="10" s="1"/>
  <c r="H75" i="10" a="1"/>
  <c r="H75" i="10" s="1"/>
  <c r="F75" i="10"/>
  <c r="I19" i="10"/>
  <c r="F61" i="10"/>
  <c r="I61" i="10"/>
  <c r="N61" i="10"/>
  <c r="K61" i="10" a="1"/>
  <c r="K61"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K12" i="10" a="1"/>
  <c r="K12" i="10" s="1"/>
  <c r="H12" i="10" a="1"/>
  <c r="H12" i="10" s="1"/>
  <c r="G12" i="10"/>
  <c r="N12" i="10"/>
  <c r="I12" i="10"/>
  <c r="L13" i="10" a="1"/>
  <c r="L13" i="10" s="1"/>
  <c r="J12" i="10"/>
  <c r="F12" i="10"/>
  <c r="K80" i="10" a="1"/>
  <c r="K80" i="10" s="1"/>
  <c r="I80" i="10"/>
  <c r="H80" i="10" a="1"/>
  <c r="H80" i="10" s="1"/>
  <c r="G80"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F94" i="10"/>
  <c r="G94" i="10"/>
  <c r="J31" i="10"/>
  <c r="F31" i="10"/>
  <c r="N31" i="10"/>
  <c r="M32" i="10"/>
  <c r="G31" i="10"/>
  <c r="H31" i="10" a="1"/>
  <c r="H31" i="10" s="1"/>
  <c r="K31" i="10" a="1"/>
  <c r="K31" i="10" s="1"/>
  <c r="L32" i="10" a="1"/>
  <c r="L32" i="10" s="1"/>
  <c r="I31" i="10"/>
  <c r="G49" i="10"/>
  <c r="G89" i="10"/>
  <c r="N89" i="10"/>
  <c r="F89" i="10"/>
  <c r="K89" i="10" a="1"/>
  <c r="K89" i="10" s="1"/>
  <c r="J89" i="10"/>
  <c r="L90" i="10" a="1"/>
  <c r="L90" i="10" s="1"/>
  <c r="M90" i="10"/>
  <c r="I89" i="10"/>
  <c r="H89" i="10" a="1"/>
  <c r="H89" i="10" s="1"/>
  <c r="N27" i="10"/>
  <c r="K27" i="10" a="1"/>
  <c r="K27" i="10" s="1"/>
  <c r="G27" i="10"/>
  <c r="I27" i="10"/>
  <c r="H27" i="10" a="1"/>
  <c r="H27" i="10" s="1"/>
  <c r="J27" i="10"/>
  <c r="F27" i="10"/>
  <c r="J104" i="10"/>
  <c r="N104" i="10"/>
  <c r="I104" i="10"/>
  <c r="F104" i="10"/>
  <c r="M105" i="10"/>
  <c r="G104" i="10"/>
  <c r="K104" i="10" a="1"/>
  <c r="K104" i="10" s="1"/>
  <c r="L105" i="10" a="1"/>
  <c r="L105" i="10" s="1"/>
  <c r="H104" i="10" a="1"/>
  <c r="H104" i="10" s="1"/>
  <c r="F63" i="10"/>
  <c r="I84" i="10"/>
  <c r="L85" i="10" a="1"/>
  <c r="L85" i="10" s="1"/>
  <c r="M15" i="10"/>
  <c r="F84" i="10"/>
  <c r="N84" i="10"/>
  <c r="H84" i="10" a="1"/>
  <c r="H84" i="10" s="1"/>
  <c r="K84" i="10" a="1"/>
  <c r="K84" i="10" s="1"/>
  <c r="J84" i="10"/>
  <c r="G84" i="10"/>
  <c r="H9" i="10" a="1"/>
  <c r="H9" i="10" s="1"/>
  <c r="L15" i="10" a="1"/>
  <c r="L15"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M96" i="10"/>
  <c r="J42" i="10"/>
  <c r="L102" i="10" a="1"/>
  <c r="L102" i="10" s="1"/>
  <c r="F101" i="10"/>
  <c r="M102" i="10"/>
  <c r="K101" i="10" a="1"/>
  <c r="K101" i="10" s="1"/>
  <c r="J101" i="10"/>
  <c r="N101" i="10"/>
  <c r="H18" i="10" a="1"/>
  <c r="H18" i="10" s="1"/>
  <c r="I20" i="10"/>
  <c r="L21" i="10" a="1"/>
  <c r="L21" i="10" s="1"/>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N39" i="10"/>
  <c r="N72" i="10"/>
  <c r="K72" i="10" a="1"/>
  <c r="K72" i="10" s="1"/>
  <c r="H72" i="10" a="1"/>
  <c r="H72" i="10" s="1"/>
  <c r="I72" i="10"/>
  <c r="G72" i="10"/>
  <c r="F72" i="10"/>
  <c r="L73" i="10" a="1"/>
  <c r="L73" i="10" s="1"/>
  <c r="M73" i="10"/>
  <c r="J72" i="10"/>
  <c r="I68" i="10"/>
  <c r="J68" i="10"/>
  <c r="H68" i="10" a="1"/>
  <c r="H68" i="10" s="1"/>
  <c r="K68" i="10" a="1"/>
  <c r="K68" i="10" s="1"/>
  <c r="L69" i="10" a="1"/>
  <c r="L69" i="10" s="1"/>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F38" i="10"/>
  <c r="J38" i="10"/>
  <c r="G38" i="10"/>
  <c r="K103" i="10" a="1"/>
  <c r="K103" i="10" s="1"/>
  <c r="M104" i="10"/>
  <c r="F18" i="10"/>
  <c r="N18" i="10"/>
  <c r="N20" i="10"/>
  <c r="J20" i="10"/>
  <c r="K20" i="10" a="1"/>
  <c r="K20" i="10" s="1"/>
  <c r="H67" i="10" a="1"/>
  <c r="H67" i="10" s="1"/>
  <c r="I82" i="10"/>
  <c r="N82" i="10"/>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I37" i="10"/>
  <c r="G29" i="10"/>
  <c r="H29" i="10" a="1"/>
  <c r="H29" i="10" s="1"/>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K38" i="10" a="1"/>
  <c r="K38" i="10" s="1"/>
  <c r="N38" i="10"/>
  <c r="F103" i="10"/>
  <c r="L104" i="10" a="1"/>
  <c r="L104" i="10" s="1"/>
  <c r="H103" i="10" a="1"/>
  <c r="H103" i="10" s="1"/>
  <c r="G103" i="10"/>
  <c r="I18" i="10"/>
  <c r="J18" i="10"/>
  <c r="G18" i="10"/>
  <c r="G20" i="10"/>
  <c r="M21" i="10"/>
  <c r="G67" i="10"/>
  <c r="M68" i="10"/>
  <c r="F82" i="10"/>
  <c r="L33" i="10" a="1"/>
  <c r="L33" i="10" s="1"/>
  <c r="L56" i="10" a="1"/>
  <c r="L56" i="10" s="1"/>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M51" i="10"/>
  <c r="N50" i="10"/>
  <c r="I38" i="10"/>
  <c r="H38" i="10" a="1"/>
  <c r="H38" i="10" s="1"/>
  <c r="I103" i="10"/>
  <c r="J103" i="10"/>
  <c r="N103" i="10"/>
  <c r="M19" i="10"/>
  <c r="K18" i="10" a="1"/>
  <c r="K18" i="10" s="1"/>
  <c r="L19" i="10" a="1"/>
  <c r="L19" i="10" s="1"/>
  <c r="H20" i="10" a="1"/>
  <c r="H20" i="10" s="1"/>
  <c r="F20" i="10"/>
  <c r="L68" i="10" a="1"/>
  <c r="L68" i="10" s="1"/>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K82" i="10" a="1"/>
  <c r="K82" i="10" s="1"/>
  <c r="G82" i="10"/>
  <c r="M33" i="10"/>
  <c r="H54" i="10" a="1"/>
  <c r="H54" i="10" s="1"/>
  <c r="K54" i="10" a="1"/>
  <c r="K54" i="10" s="1"/>
  <c r="G54" i="10"/>
  <c r="N54" i="10"/>
  <c r="M55" i="10"/>
  <c r="I54" i="10"/>
  <c r="F54" i="10"/>
  <c r="J54" i="10"/>
  <c r="H62" i="10" a="1"/>
  <c r="H62" i="10" s="1"/>
  <c r="I62" i="10"/>
  <c r="N62" i="10"/>
  <c r="K62" i="10" a="1"/>
  <c r="K62" i="10" s="1"/>
  <c r="J62" i="10"/>
  <c r="F62" i="10"/>
  <c r="G62"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F36" i="10"/>
  <c r="I36" i="10"/>
  <c r="G36"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N30" i="10"/>
  <c r="L31" i="10" a="1"/>
  <c r="L31" i="10" s="1"/>
  <c r="F28" i="10"/>
  <c r="G28" i="10"/>
  <c r="L26" i="10" a="1"/>
  <c r="L26" i="10" s="1"/>
  <c r="M26" i="10"/>
  <c r="M58" i="10"/>
  <c r="L11" i="10" a="1"/>
  <c r="L11" i="10" s="1"/>
  <c r="I28" i="10"/>
  <c r="H30" i="10" a="1"/>
  <c r="H30" i="10" s="1"/>
  <c r="M37" i="10"/>
  <c r="L55" i="10" a="1"/>
  <c r="L55" i="10" s="1"/>
  <c r="I50" i="10"/>
  <c r="K55" i="10" a="1"/>
  <c r="K55" i="10" s="1"/>
  <c r="M30" i="10"/>
  <c r="K37" i="10" a="1"/>
  <c r="K37" i="10" s="1"/>
  <c r="L40" i="10" a="1"/>
  <c r="L40" i="10" s="1"/>
  <c r="M43" i="10"/>
  <c r="F95" i="10"/>
  <c r="F44" i="10"/>
  <c r="N9" i="10"/>
  <c r="N28" i="10"/>
  <c r="L29" i="10" a="1"/>
  <c r="L29" i="10" s="1"/>
  <c r="M31" i="10"/>
  <c r="N37" i="10"/>
  <c r="K39" i="10" a="1"/>
  <c r="K39" i="10" s="1"/>
  <c r="G42" i="10"/>
  <c r="N42" i="10"/>
  <c r="L96" i="10" a="1"/>
  <c r="L96" i="10" s="1"/>
  <c r="G44" i="10"/>
  <c r="F9" i="10"/>
  <c r="L39" i="10" a="1"/>
  <c r="L39" i="10" s="1"/>
  <c r="F50" i="10"/>
  <c r="M56" i="10"/>
  <c r="K28" i="10" a="1"/>
  <c r="K28" i="10" s="1"/>
  <c r="F30" i="10"/>
  <c r="I30" i="10"/>
  <c r="G50" i="10"/>
  <c r="L51" i="10" a="1"/>
  <c r="L51" i="10" s="1"/>
  <c r="I55" i="10"/>
  <c r="L30" i="10" a="1"/>
  <c r="L30" i="10" s="1"/>
  <c r="M38" i="10"/>
  <c r="M40" i="10"/>
  <c r="F42" i="10"/>
  <c r="G95" i="10"/>
  <c r="K95" i="10" a="1"/>
  <c r="K95" i="10" s="1"/>
  <c r="J44" i="10"/>
  <c r="K44" i="10" a="1"/>
  <c r="K44" i="10" s="1"/>
  <c r="G63" i="10"/>
  <c r="M28" i="10"/>
  <c r="M29" i="10"/>
  <c r="G30" i="10"/>
  <c r="G55" i="10"/>
  <c r="H37" i="10" a="1"/>
  <c r="H37" i="10" s="1"/>
  <c r="F39" i="10"/>
  <c r="L43" i="10" a="1"/>
  <c r="L43" i="10" s="1"/>
  <c r="H95" i="10" a="1"/>
  <c r="H95" i="10" s="1"/>
  <c r="N44" i="10"/>
  <c r="L64" i="10" a="1"/>
  <c r="L64" i="10" s="1"/>
  <c r="H69" i="10" a="1"/>
  <c r="H69" i="10" s="1"/>
  <c r="M20" i="10"/>
  <c r="M44" i="10"/>
  <c r="M63" i="10"/>
  <c r="J50" i="10"/>
  <c r="J28" i="10"/>
  <c r="J30" i="10"/>
  <c r="L37" i="10" a="1"/>
  <c r="L37" i="10" s="1"/>
  <c r="L63" i="10" a="1"/>
  <c r="L63" i="10" s="1"/>
  <c r="M39" i="10"/>
  <c r="K50" i="10" a="1"/>
  <c r="K50" i="10" s="1"/>
  <c r="H55" i="10" a="1"/>
  <c r="H55" i="10" s="1"/>
  <c r="L38" i="10" a="1"/>
  <c r="L38" i="10" s="1"/>
  <c r="J37" i="10"/>
  <c r="J39" i="10"/>
  <c r="K42" i="10" a="1"/>
  <c r="K42" i="10" s="1"/>
  <c r="I95" i="10"/>
  <c r="M45" i="10"/>
  <c r="J9" i="10"/>
  <c r="H63" i="10" a="1"/>
  <c r="H63" i="10" s="1"/>
  <c r="F37" i="10"/>
  <c r="H39" i="10" a="1"/>
  <c r="H39" i="10" s="1"/>
  <c r="G39" i="10"/>
  <c r="I42" i="10"/>
  <c r="J95" i="10"/>
  <c r="I44" i="10"/>
  <c r="I9" i="10"/>
  <c r="J63" i="10"/>
  <c r="L44" i="10" a="1"/>
  <c r="L44" i="10" s="1"/>
  <c r="N55" i="10"/>
  <c r="H28" i="10" a="1"/>
  <c r="H28" i="10" s="1"/>
  <c r="J55" i="10"/>
  <c r="M69" i="10"/>
  <c r="H42" i="10" a="1"/>
  <c r="H42" i="10" s="1"/>
  <c r="L10" i="10" a="1"/>
  <c r="L10" i="10" s="1"/>
  <c r="K63" i="10" a="1"/>
  <c r="K63" i="10" s="1"/>
  <c r="G43" i="10"/>
  <c r="H17" i="10" a="1"/>
  <c r="H17" i="10" s="1"/>
  <c r="M62" i="10"/>
  <c r="I49" i="10"/>
  <c r="L95" i="10" a="1"/>
  <c r="L95" i="10" s="1"/>
  <c r="K58" i="10" a="1"/>
  <c r="K58" i="10" s="1"/>
  <c r="I58" i="10"/>
  <c r="K9" i="10" a="1"/>
  <c r="K9" i="10" s="1"/>
  <c r="M64" i="10"/>
  <c r="N63" i="10"/>
  <c r="L50" i="10" a="1"/>
  <c r="L50" i="10" s="1"/>
  <c r="K49" i="10" a="1"/>
  <c r="K49" i="10" s="1"/>
  <c r="J49" i="10"/>
  <c r="M95" i="10"/>
  <c r="L81" i="10" a="1"/>
  <c r="L81" i="10" s="1"/>
  <c r="H43" i="10" a="1"/>
  <c r="H43" i="10" s="1"/>
  <c r="L20" i="10" a="1"/>
  <c r="L20" i="10" s="1"/>
  <c r="J96" i="10"/>
  <c r="N17" i="10"/>
  <c r="J78" i="10"/>
  <c r="F49" i="10"/>
  <c r="M50" i="10"/>
  <c r="F43" i="10"/>
  <c r="J43" i="10"/>
  <c r="F19" i="10"/>
  <c r="J17" i="10"/>
  <c r="J69" i="10"/>
  <c r="N49" i="10"/>
  <c r="N43" i="10"/>
  <c r="K43" i="10" a="1"/>
  <c r="K43" i="10" s="1"/>
  <c r="G19" i="10"/>
  <c r="G69" i="10"/>
  <c r="I43" i="10"/>
  <c r="H19" i="10" a="1"/>
  <c r="H19" i="10" s="1"/>
  <c r="K19" i="10" a="1"/>
  <c r="K19" i="10" s="1"/>
  <c r="I17" i="10"/>
  <c r="G17" i="10"/>
  <c r="K69" i="10" a="1"/>
  <c r="K69" i="10" s="1"/>
  <c r="L70" i="10" a="1"/>
  <c r="L70" i="10" s="1"/>
  <c r="K17" i="10" a="1"/>
  <c r="K17" i="10" s="1"/>
  <c r="M18" i="10"/>
  <c r="M70" i="10"/>
  <c r="F69" i="10"/>
  <c r="N19" i="10"/>
  <c r="F17" i="10"/>
  <c r="N69" i="10"/>
  <c r="L79" i="10" a="1"/>
  <c r="L79" i="10" s="1"/>
  <c r="H78" i="10" a="1"/>
  <c r="H78" i="10" s="1"/>
  <c r="F78" i="10"/>
  <c r="M79" i="10"/>
  <c r="K78" i="10" a="1"/>
  <c r="K78" i="10" s="1"/>
  <c r="J51" i="10"/>
  <c r="M52" i="10"/>
  <c r="I51" i="10"/>
  <c r="L52" i="10" a="1"/>
  <c r="L52" i="10" s="1"/>
  <c r="I78" i="10"/>
  <c r="N51" i="10"/>
  <c r="H51" i="10" a="1"/>
  <c r="H51" i="10" s="1"/>
  <c r="K51" i="10" a="1"/>
  <c r="K51" i="10" s="1"/>
  <c r="M8" i="10"/>
  <c r="O7" i="10" l="1"/>
  <c r="P7" i="10" s="1"/>
  <c r="M9" i="10"/>
  <c r="M10" i="10"/>
  <c r="O8" i="10" l="1"/>
  <c r="M11" i="10"/>
  <c r="M12" i="10" s="1"/>
  <c r="M13" i="10" s="1"/>
  <c r="P8" i="10"/>
  <c r="O9" i="10" l="1"/>
  <c r="P9" i="10"/>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<sst xmlns="http://schemas.openxmlformats.org/spreadsheetml/2006/main" count="3467" uniqueCount="440">
  <si>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</si>
  <si>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</si>
  <si>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</si>
  <si>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</si>
  <si>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</si>
  <si>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</si>
  <si>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</si>
  <si>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</si>
  <si>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</si>
  <si>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</si>
  <si>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</si>
  <si>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</si>
  <si>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</si>
  <si>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</si>
  <si>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</si>
  <si>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</si>
  <si>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</si>
  <si>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</si>
  <si>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</si>
  <si>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</si>
  <si>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</si>
  <si>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</si>
  <si>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</si>
  <si>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</si>
  <si>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</si>
  <si>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</si>
  <si>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</si>
  <si>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</si>
  <si>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</si>
  <si>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</si>
  <si>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</si>
  <si>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</si>
  <si>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</si>
  <si>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</si>
  <si>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</si>
  <si>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</si>
  <si>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</si>
  <si>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</si>
  <si>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</si>
  <si>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</si>
  <si>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</si>
  <si>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</si>
  <si>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</si>
  <si>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</si>
  <si>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</si>
  <si>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</si>
  <si>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</si>
  <si>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</si>
  <si>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</si>
  <si>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</si>
  <si>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</si>
  <si>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</si>
  <si>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</si>
  <si>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</si>
  <si>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</si>
  <si>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</si>
  <si>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</si>
  <si>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</si>
  <si>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</si>
  <si>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</si>
  <si>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</si>
  <si>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</si>
  <si>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</si>
  <si>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</si>
  <si>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</si>
  <si>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</si>
  <si>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</si>
  <si>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</si>
  <si>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</si>
  <si>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</si>
  <si>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</si>
  <si>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</si>
  <si>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</si>
  <si>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</si>
  <si>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</si>
  <si>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</si>
  <si>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</si>
  <si>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</si>
  <si>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</si>
  <si>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</si>
  <si>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</si>
  <si>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</si>
  <si>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</si>
  <si>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</si>
  <si>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</si>
  <si>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</si>
  <si>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</si>
  <si>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</si>
  <si>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</si>
  <si>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</si>
  <si>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</si>
  <si>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</si>
  <si>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</si>
  <si>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</si>
  <si>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</si>
  <si>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</si>
  <si>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</si>
  <si>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</si>
  <si>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</si>
  <si>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</si>
  <si>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</si>
  <si>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</si>
  <si>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</si>
  <si>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</si>
  <si>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</si>
  <si>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</si>
  <si>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</si>
  <si>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</si>
  <si>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</si>
  <si>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</si>
  <si>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</si>
  <si>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</si>
  <si>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</si>
  <si>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</si>
  <si>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</si>
  <si>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</si>
  <si>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</si>
  <si>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</si>
  <si>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</si>
  <si>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</si>
  <si>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</si>
  <si>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</si>
  <si>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</si>
  <si>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</si>
  <si>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</si>
  <si>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</si>
  <si>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</si>
  <si>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</si>
  <si>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</si>
  <si>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</si>
  <si>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</si>
  <si>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</si>
  <si>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</si>
  <si>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</si>
  <si>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</si>
  <si>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</si>
  <si>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</si>
  <si>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</si>
  <si>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</si>
  <si>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</si>
  <si>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</si>
  <si>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</si>
  <si>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</si>
  <si>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</si>
  <si>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</si>
  <si>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</si>
  <si>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</si>
  <si>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</si>
  <si>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</si>
  <si>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</si>
  <si>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</si>
  <si>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</si>
  <si>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</si>
  <si>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</si>
  <si>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</si>
  <si>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</si>
  <si>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</si>
  <si>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</si>
  <si>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</si>
  <si>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</si>
  <si>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</si>
  <si>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</si>
  <si>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</si>
  <si>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</si>
  <si>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</si>
  <si>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</si>
  <si>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</si>
  <si>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</si>
  <si>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</si>
  <si>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</si>
  <si>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</si>
  <si>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</si>
  <si>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</si>
  <si>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</si>
  <si>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</si>
  <si>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</si>
  <si>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</si>
  <si>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</si>
  <si>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</si>
  <si>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</si>
  <si>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</si>
  <si>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</si>
  <si>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</si>
  <si>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</si>
  <si>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</si>
  <si>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</si>
  <si>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</si>
  <si>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</si>
  <si>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</si>
  <si>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</si>
  <si>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</si>
  <si>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</si>
  <si>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</si>
  <si>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</si>
  <si>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</si>
  <si>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</si>
  <si>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</si>
  <si>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</si>
  <si>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</si>
  <si>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</si>
  <si>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</si>
  <si>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</si>
  <si>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</si>
  <si>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</si>
  <si>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</si>
  <si>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</si>
  <si>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</si>
  <si>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</si>
  <si>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</si>
  <si>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</si>
  <si>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</si>
  <si>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</si>
  <si>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</si>
  <si>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</si>
  <si>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</si>
  <si>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</si>
  <si>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</si>
  <si>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</si>
  <si>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</si>
  <si>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</si>
  <si>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</si>
  <si>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</si>
  <si>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</si>
  <si>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</si>
  <si>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</si>
  <si>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</si>
  <si>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</si>
  <si>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</si>
  <si>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</si>
  <si>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</si>
  <si>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</si>
  <si>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</si>
  <si>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</si>
  <si>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</si>
  <si>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</si>
  <si>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</si>
  <si>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</si>
  <si>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</si>
  <si>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</si>
  <si>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</si>
  <si>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</si>
  <si>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</si>
  <si>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</si>
  <si>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</si>
  <si>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</si>
  <si>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</si>
  <si>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</si>
  <si>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</si>
  <si>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</si>
  <si>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</si>
  <si>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</si>
  <si>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</si>
  <si>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</si>
  <si>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</si>
  <si>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</si>
  <si>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</si>
  <si>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</si>
  <si>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</si>
  <si>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</si>
  <si>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</si>
  <si>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</si>
  <si>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</si>
  <si>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</si>
  <si>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</si>
  <si>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</si>
  <si>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</si>
  <si>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</si>
  <si>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</si>
  <si>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</si>
  <si>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</si>
  <si>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</si>
  <si>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</si>
  <si>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</si>
  <si>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</si>
  <si>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</si>
  <si>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</si>
  <si>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</si>
  <si>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</si>
  <si>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</si>
  <si>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</si>
  <si>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</si>
  <si>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</si>
  <si>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</si>
  <si>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</si>
  <si>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</si>
  <si>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</si>
  <si>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</si>
  <si>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</si>
  <si>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</si>
  <si>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</si>
  <si>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</si>
  <si>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</si>
  <si>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</si>
  <si>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</si>
  <si>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</si>
  <si>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</si>
  <si>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</si>
  <si>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</si>
  <si>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</si>
  <si>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</si>
  <si>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</si>
  <si>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</si>
  <si>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</si>
  <si>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</si>
  <si>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</si>
  <si>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</si>
  <si>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</si>
  <si>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</si>
  <si>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</si>
  <si>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</si>
  <si>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</si>
  <si>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</si>
  <si>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</si>
  <si>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</si>
  <si>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</si>
  <si>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</si>
  <si>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</si>
  <si>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</si>
  <si>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</si>
  <si>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</si>
  <si>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</si>
  <si>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</si>
  <si>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</si>
  <si>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</si>
  <si>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</si>
  <si>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</si>
  <si>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</si>
  <si>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</si>
  <si>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</si>
  <si>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</si>
  <si>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</si>
  <si>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</si>
  <si>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</si>
  <si>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</si>
  <si>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</si>
  <si>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</si>
  <si>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</si>
  <si>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</si>
  <si>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</si>
  <si>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</si>
  <si>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</si>
  <si>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</si>
  <si>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</si>
  <si>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</si>
  <si>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</si>
  <si>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</si>
  <si>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</si>
  <si>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</si>
  <si>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</si>
  <si>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</si>
  <si>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</si>
  <si>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</si>
  <si>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</si>
  <si>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</si>
  <si>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</si>
  <si>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</si>
  <si>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</si>
  <si>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</si>
  <si>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</si>
  <si>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</si>
  <si>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</si>
  <si>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</si>
  <si>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</si>
  <si>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</si>
  <si>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</si>
  <si>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</si>
  <si>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</si>
  <si>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</si>
  <si>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</si>
  <si>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</si>
  <si>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</si>
  <si>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</si>
  <si>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</si>
  <si>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</si>
  <si>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</si>
  <si>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</si>
  <si>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</si>
  <si>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</si>
  <si>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</si>
  <si>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</si>
  <si>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</si>
  <si>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</si>
  <si>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</si>
  <si>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</si>
  <si>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</si>
  <si>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</si>
  <si>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</si>
  <si>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</si>
  <si>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</si>
  <si>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</si>
  <si>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</si>
  <si>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</si>
  <si>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</si>
  <si>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</si>
  <si>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</si>
  <si>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</si>
  <si>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</si>
  <si>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</si>
  <si>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</si>
  <si>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</si>
  <si>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</si>
  <si>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</si>
  <si>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</si>
  <si>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</si>
  <si>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</si>
  <si>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</si>
  <si>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</si>
  <si>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</si>
  <si>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</si>
  <si>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</si>
  <si>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</si>
  <si>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</si>
  <si>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</si>
  <si>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</si>
  <si>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</si>
  <si>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</si>
  <si>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</si>
  <si>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</si>
  <si>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</si>
  <si>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</si>
  <si>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</si>
  <si>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</si>
  <si>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</si>
  <si>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</si>
  <si>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</si>
  <si>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</si>
  <si>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</si>
  <si>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</si>
  <si>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</si>
  <si>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</si>
  <si>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</si>
  <si>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</si>
  <si>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</si>
  <si>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26.0.000021169-8</t>
  </si>
  <si>
    <t>ATC-DC-SMS</t>
  </si>
  <si>
    <t>MÊS</t>
  </si>
  <si>
    <t>FOLHA</t>
  </si>
  <si>
    <t>PRONTUÁRIO</t>
  </si>
  <si>
    <t>CAIXA</t>
  </si>
  <si>
    <t>Viviane Mosna Demoly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</si>
</sst>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5" borderId="1" xfId="2"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7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bgColor theme="1" tint="0.499984740745262"/>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viviane.demoly/Downloads/Mapa_de_precos___PRONTU&#193;RIOS.xlsx" TargetMode="External"/><Relationship Id="rId1" Type="http://schemas.openxmlformats.org/officeDocument/2006/relationships/externalLinkPath" Target="/Users/viviane.demoly/Downloads/Mapa_de_precos___PRONTU&#193;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EDITAL"/>
      <sheetName val="BASE FORMAÇÃO"/>
      <sheetName val="MAPA DE PREÇOS"/>
      <sheetName val="EDITAL"/>
      <sheetName val="CRONOGRAMA"/>
      <sheetName val="ABC"/>
      <sheetName val="METODOLOGIA"/>
      <sheetName val="EDITAL (MAIOR DESCONTO)"/>
      <sheetName val="Tabela de Apoio"/>
    </sheetNames>
    <sheetDataSet>
      <sheetData sheetId="0"/>
      <sheetData sheetId="1">
        <row r="1">
          <cell r="C1" t="str">
            <v>DESCRIÇÃO</v>
          </cell>
        </row>
        <row r="2">
          <cell r="C2" t="str">
            <v>Mobilização Inicial</v>
          </cell>
        </row>
        <row r="3">
          <cell r="C3" t="str">
            <v>Tratamento Arquivístico Inicial</v>
          </cell>
        </row>
        <row r="4">
          <cell r="C4" t="str">
            <v>Armazenagem física</v>
          </cell>
        </row>
        <row r="5">
          <cell r="C5" t="str">
            <v>Novos Acervos</v>
          </cell>
        </row>
        <row r="6">
          <cell r="C6" t="str">
            <v>Pesquisa física e envio de documentos de forma física</v>
          </cell>
        </row>
        <row r="7">
          <cell r="C7" t="str">
            <v>Pesquisa física e envio de documentos de forma digital</v>
          </cell>
        </row>
        <row r="8">
          <cell r="C8" t="str">
            <v>Software de Gestão</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7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opLeftCell="A19" zoomScale="85" zoomScaleNormal="85" workbookViewId="0">
      <selection activeCell="S38" sqref="S3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DA SAÚDE (SMS)
MAPA DE PREÇOS - FEV/26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426</v>
      </c>
      <c r="I5" s="220"/>
      <c r="J5" s="220"/>
      <c r="K5" s="141"/>
      <c r="L5" s="206" t="s">
        <v>321</v>
      </c>
      <c r="M5" s="207"/>
      <c r="N5" s="207"/>
      <c r="O5" s="221" t="s">
        <v>434</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439</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433</v>
      </c>
      <c r="I7" s="220"/>
      <c r="J7" s="220"/>
      <c r="K7" s="141"/>
      <c r="L7" s="206" t="s">
        <v>351</v>
      </c>
      <c r="M7" s="207"/>
      <c r="N7" s="207"/>
      <c r="O7" s="221">
        <v>590207</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v>7</v>
      </c>
      <c r="I8" s="211"/>
      <c r="J8" s="212"/>
      <c r="K8" s="141"/>
      <c r="L8" s="213" t="s">
        <v>301</v>
      </c>
      <c r="M8" s="214"/>
      <c r="N8" s="215"/>
      <c r="O8" s="227">
        <v>46140</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605630.91</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0.76019999999999999</v>
      </c>
      <c r="N15" s="69"/>
      <c r="O15" s="27" t="s">
        <v>17</v>
      </c>
      <c r="P15" s="113">
        <v>0.75</v>
      </c>
      <c r="Q15" s="113">
        <v>0.25</v>
      </c>
      <c r="R15" s="113">
        <v>5.47</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INDEX('[1]BASE FORMAÇÃO'!C:C,B15+1)</f>
        <v>Mobilização Inicial</v>
      </c>
      <c r="I16" s="192"/>
      <c r="J16" s="193"/>
      <c r="K16" s="66"/>
      <c r="L16" s="184"/>
      <c r="M16" s="186"/>
      <c r="N16" s="70"/>
      <c r="O16" s="27" t="s">
        <v>13</v>
      </c>
      <c r="P16" s="122">
        <v>46021</v>
      </c>
      <c r="Q16" s="122">
        <v>46050</v>
      </c>
      <c r="R16" s="122">
        <v>46048</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27000</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182" t="s">
        <v>438</v>
      </c>
      <c r="N18" s="71"/>
      <c r="O18" s="27" t="s">
        <v>381</v>
      </c>
      <c r="P18" s="115"/>
      <c r="Q18" s="115"/>
      <c r="R18" s="115"/>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1.0898130856557644</v>
      </c>
      <c r="N19" s="71"/>
      <c r="O19" s="27" t="s">
        <v>18</v>
      </c>
      <c r="P19" s="106">
        <f>IF(P15="","",
IF(OR(P17="Orçamento",P16="",MAX('Tabela de Apoio'!$A:$A)&lt;=P16),
P15,
(INDEX('Tabela de Apoio'!$B:$B,MATCH('MAPA DE PREÇOS'!$O$8,'Tabela de Apoio'!$A:$A,1))/INDEX('Tabela de Apoio'!$B:$B,MATCH('MAPA DE PREÇOS'!P16,'Tabela de Apoio'!$A:$A,1)-1))*P15))</f>
        <v>0.76024232477835585</v>
      </c>
      <c r="Q19" s="106">
        <f>IF(Q15="","",
IF(OR(Q17="Orçamento",Q16="",MAX('Tabela de Apoio'!$A:$A)&lt;=Q16),
Q15,
(INDEX('Tabela de Apoio'!$B:$B,MATCH('MAPA DE PREÇOS'!$O$8,'Tabela de Apoio'!$A:$A,1))/INDEX('Tabela de Apoio'!$B:$B,MATCH('MAPA DE PREÇOS'!Q16,'Tabela de Apoio'!$A:$A,1)-1))*Q15))</f>
        <v>0.25258060943175265</v>
      </c>
      <c r="R19" s="106">
        <f>IF(R15="","",
IF(OR(R17="Orçamento",R16="",MAX('Tabela de Apoio'!$A:$A)&lt;=R16),
R15,
(INDEX('Tabela de Apoio'!$B:$B,MATCH('MAPA DE PREÇOS'!$O$8,'Tabela de Apoio'!$A:$A,1))/INDEX('Tabela de Apoio'!$B:$B,MATCH('MAPA DE PREÇOS'!R16,'Tabela de Apoio'!$A:$A,1)-1))*R15))</f>
        <v>5.5264637343667475</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f>IF(IFERROR(VLOOKUP(P17,'Tabela de Apoio'!$D:$E,2,FALSE),1)=1,"",P21)</f>
        <v>0.76024232477835585</v>
      </c>
      <c r="Q20" s="107">
        <f>IF(IFERROR(VLOOKUP(Q17,'Tabela de Apoio'!$D:$E,2,FALSE),1)=1,"",Q21)</f>
        <v>0.25258060943175265</v>
      </c>
      <c r="R20" s="107">
        <f>IF(IFERROR(VLOOKUP(R17,'Tabela de Apoio'!$D:$E,2,FALSE),1)=1,"",R21)</f>
        <v>5.5264637343667475</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1.0898130856557644</v>
      </c>
      <c r="J21" s="7">
        <f>ROW()</f>
        <v>21</v>
      </c>
      <c r="K21" s="67"/>
      <c r="L21" s="29" t="s">
        <v>10</v>
      </c>
      <c r="M21" s="30">
        <f>IFERROR(
IF(COUNTA(P15:AI15)=COUNTIF(P17:XX17,"Orçamento"),MIN(M26,M23),
IF(M24&lt;&gt;"",M24,
IF(M25&lt;&gt;"",M25,
M23
))),"")</f>
        <v>0.76024232477835585</v>
      </c>
      <c r="N21" s="71"/>
      <c r="O21" s="27" t="s">
        <v>376</v>
      </c>
      <c r="P21" s="106">
        <f>IFERROR(IF(P19="",
            "",
            IF(COUNT($P19:$XX19)&lt;=4,
               P19,
               IF(OR(P19&gt;(QUARTILE($P19:$XX19,3)+(QUARTILE($P19:$XX19,3)-QUARTILE($P19:$XX19,1))),
                     P19&lt;(QUARTILE($P19:$XX19,1)-(QUARTILE($P19:$XX19,3)-QUARTILE($P19:$XX19,1)))
                  ),
               "DESCARTADO",P19)
             )
  ),P19)</f>
        <v>0.76024232477835585</v>
      </c>
      <c r="Q21" s="106">
        <f t="shared" ref="Q21:AI21" si="3">IFERROR(IF(Q19="",
            "",
            IF(COUNT($P19:$XX19)&lt;=4,
               Q19,
               IF(OR(Q19&gt;(QUARTILE($P19:$XX19,3)+(QUARTILE($P19:$XX19,3)-QUARTILE($P19:$XX19,1))),
                     Q19&lt;(QUARTILE($P19:$XX19,1)-(QUARTILE($P19:$XX19,3)-QUARTILE($P19:$XX19,1)))
                  ),
               "DESCARTADO",Q19)
             )
  ),Q19)</f>
        <v>0.25258060943175265</v>
      </c>
      <c r="R21" s="106">
        <f t="shared" si="3"/>
        <v>5.5264637343667475</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2.1797622228589519</v>
      </c>
      <c r="N22" s="71"/>
      <c r="O22" s="27" t="str">
        <f>"1 POND"</f>
        <v>1 POND</v>
      </c>
      <c r="P22" s="107">
        <f>IF(IFERROR(VLOOKUP(P17,'Tabela de Apoio'!$D:$E,2,FALSE),1)=1,"",P23)</f>
        <v>0.76024232477835585</v>
      </c>
      <c r="Q22" s="107">
        <f>IF(IFERROR(VLOOKUP(Q17,'Tabela de Apoio'!$D:$E,2,FALSE),1)=1,"",Q23)</f>
        <v>0.25258060943175265</v>
      </c>
      <c r="R22" s="107" t="str">
        <f>IF(IFERROR(VLOOKUP(R17,'Tabela de Apoio'!$D:$E,2,FALSE),1)=1,"",R23)</f>
        <v>DESCARTADO</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2</v>
      </c>
      <c r="I23" s="132">
        <f>_xlfn.STDEV.P($P22:$XX23)/AVERAGE($P22:$XX23)</f>
        <v>0.50123441936326629</v>
      </c>
      <c r="J23" s="7">
        <f>IF(AND(H23&gt;2,
OR(L15="MÉDIA SANEADA",L15="MEDIANA SANEADA",
AND(L15="PREÇO ESTIMADO",NOT(AND(P17="Orçamento",COUNTA(P15:XX15)=COUNTIF(P17:XX17,"Orçamento")))))),
ROW(),0)</f>
        <v>0</v>
      </c>
      <c r="K23" s="66"/>
      <c r="L23" s="29" t="s">
        <v>361</v>
      </c>
      <c r="M23" s="30">
        <f>MEDIAN($P21:$XX21)</f>
        <v>0.76024232477835585</v>
      </c>
      <c r="N23" s="71"/>
      <c r="O23" s="27" t="str">
        <f>"1 RODADA"</f>
        <v>1 RODADA</v>
      </c>
      <c r="P23" s="107">
        <f>IF(P21="","",IF((_xlfn.STDEV.P($P20:$XX21)/AVERAGE($P20:$XX21))&lt;=25%,P21,IF(OR(P21&gt;(AVERAGE($P20:$XX21)+_xlfn.STDEV.P($P20:$XX21)),P21&lt;(AVERAGE($P20:$XX21)-_xlfn.STDEV.P($P20:$XX21))),"DESCARTADO",P21)))</f>
        <v>0.76024232477835585</v>
      </c>
      <c r="Q23" s="107">
        <f t="shared" ref="Q23:AI23" si="6">IF(Q21="","",IF((_xlfn.STDEV.P($P20:$XX21)/AVERAGE($P20:$XX21))&lt;=25%,Q21,IF(OR(Q21&gt;(AVERAGE($P20:$XX21)+_xlfn.STDEV.P($P20:$XX21)),Q21&lt;(AVERAGE($P20:$XX21)-_xlfn.STDEV.P($P20:$XX21))),"DESCARTADO",Q21)))</f>
        <v>0.25258060943175265</v>
      </c>
      <c r="R23" s="107" t="str">
        <f t="shared" si="6"/>
        <v>DESCARTADO</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f>IF(IFERROR(VLOOKUP(P17,'Tabela de Apoio'!$D:$E,2,FALSE),1)=1,"",P25)</f>
        <v>0.76024232477835585</v>
      </c>
      <c r="Q24" s="107">
        <f>IF(IFERROR(VLOOKUP(Q17,'Tabela de Apoio'!$D:$E,2,FALSE),1)=1,"",Q25)</f>
        <v>0.25258060943175265</v>
      </c>
      <c r="R24" s="107" t="str">
        <f>IF(IFERROR(VLOOKUP(R17,'Tabela de Apoio'!$D:$E,2,FALSE),1)=1,"",R25)</f>
        <v>DESCARTADO</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2</v>
      </c>
      <c r="I25" s="132">
        <f>_xlfn.STDEV.P($P24:$XX25)/AVERAGE($P24:$XX25)</f>
        <v>0.50123441936326629</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0.76024232477835585</v>
      </c>
      <c r="N25" s="71"/>
      <c r="O25" s="27" t="str">
        <f>"2 RODADA"</f>
        <v>2 RODADA</v>
      </c>
      <c r="P25" s="107">
        <f>IF(P23="","",IF((_xlfn.STDEV.P($P22:$XX23)/AVERAGE($P22:$XX23))&lt;=25%,P23,IF(OR(P23&gt;(AVERAGE($P22:$XX23)+_xlfn.STDEV.P($P22:$XX23)),P23&lt;(AVERAGE($P22:$XX23)-_xlfn.STDEV.P($P22:$XX23))),"DESCARTADO",P23)))</f>
        <v>0.76024232477835585</v>
      </c>
      <c r="Q25" s="107">
        <f t="shared" ref="Q25:AI25" si="7">IF(Q23="","",IF((_xlfn.STDEV.P($P22:$XX23)/AVERAGE($P22:$XX23))&lt;=25%,Q23,IF(OR(Q23&gt;(AVERAGE($P22:$XX23)+_xlfn.STDEV.P($P22:$XX23)),Q23&lt;(AVERAGE($P22:$XX23)-_xlfn.STDEV.P($P22:$XX23))),"DESCARTADO",Q23)))</f>
        <v>0.25258060943175265</v>
      </c>
      <c r="R25" s="107" t="str">
        <f t="shared" si="7"/>
        <v>DESCARTADO</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0.54990883579469063</v>
      </c>
      <c r="N26" s="71"/>
      <c r="O26" s="27" t="str">
        <f>"3 POND"</f>
        <v>3 POND</v>
      </c>
      <c r="P26" s="107">
        <f>IF(IFERROR(VLOOKUP(P17,'Tabela de Apoio'!$D:$E,2,FALSE),1)=1,"",P27)</f>
        <v>0.76024232477835585</v>
      </c>
      <c r="Q26" s="107">
        <f>IF(IFERROR(VLOOKUP(Q17,'Tabela de Apoio'!$D:$E,2,FALSE),1)=1,"",Q27)</f>
        <v>0.25258060943175265</v>
      </c>
      <c r="R26" s="107" t="str">
        <f>IF(IFERROR(VLOOKUP(R17,'Tabela de Apoio'!$D:$E,2,FALSE),1)=1,"",R27)</f>
        <v>DESCARTADO</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2</v>
      </c>
      <c r="I27" s="132">
        <f>_xlfn.STDEV.P($P26:$XX27)/AVERAGE($P26:$XX27)</f>
        <v>0.50123441936326629</v>
      </c>
      <c r="J27" s="7">
        <f>IF(AND(H27&gt;2,
OR(L15="MÉDIA SANEADA",L15="MEDIANA SANEADA",
AND(L15="PREÇO ESTIMADO",NOT(AND(P17="Orçamento",COUNTA(P15:XX15)=COUNTIF(P17:XX17,"Orçamento")))))),
ROW(),0)</f>
        <v>0</v>
      </c>
      <c r="K27" s="66"/>
      <c r="L27" s="29" t="s">
        <v>41</v>
      </c>
      <c r="M27" s="30">
        <f>IFERROR(_xlfn.QUARTILE.EXC($P21:$XX21,1),"")</f>
        <v>0.25258060943175265</v>
      </c>
      <c r="N27" s="71"/>
      <c r="O27" s="27" t="str">
        <f>"3 RODADA"</f>
        <v>3 RODADA</v>
      </c>
      <c r="P27" s="107">
        <f>IF(P25="","",IF((_xlfn.STDEV.P($P24:$XX25)/AVERAGE($P24:$XX25))&lt;=25%,P25,IF(OR(P25&gt;(AVERAGE($P24:$XX25)+_xlfn.STDEV.P($P24:$XX25)),P25&lt;(AVERAGE($P24:$XX25)-_xlfn.STDEV.P($P24:$XX25))),"DESCARTADO",P25)))</f>
        <v>0.76024232477835585</v>
      </c>
      <c r="Q27" s="107">
        <f t="shared" ref="Q27:AI27" si="8">IF(Q25="","",IF((_xlfn.STDEV.P($P24:$XX25)/AVERAGE($P24:$XX25))&lt;=25%,Q25,IF(OR(Q25&gt;(AVERAGE($P24:$XX25)+_xlfn.STDEV.P($P24:$XX25)),Q25&lt;(AVERAGE($P24:$XX25)-_xlfn.STDEV.P($P24:$XX25))),"DESCARTADO",Q25)))</f>
        <v>0.25258060943175265</v>
      </c>
      <c r="R27" s="107" t="str">
        <f t="shared" si="8"/>
        <v>DESCARTADO</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5.5264637343667475</v>
      </c>
      <c r="N28" s="71"/>
      <c r="O28" s="27" t="str">
        <f>"4 POND"</f>
        <v>4 POND</v>
      </c>
      <c r="P28" s="107">
        <f>IF(IFERROR(VLOOKUP(P17,'Tabela de Apoio'!$D:$E,2,FALSE),1)=1,"",P29)</f>
        <v>0.76024232477835585</v>
      </c>
      <c r="Q28" s="107">
        <f>IF(IFERROR(VLOOKUP(Q17,'Tabela de Apoio'!$D:$E,2,FALSE),1)=1,"",Q29)</f>
        <v>0.25258060943175265</v>
      </c>
      <c r="R28" s="107" t="str">
        <f>IF(IFERROR(VLOOKUP(R17,'Tabela de Apoio'!$D:$E,2,FALSE),1)=1,"",R29)</f>
        <v>DESCARTADO</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2</v>
      </c>
      <c r="I29" s="132">
        <f>_xlfn.STDEV.P($P28:$XX29)/AVERAGE($P28:$XX29)</f>
        <v>0.50123441936326629</v>
      </c>
      <c r="J29" s="7">
        <f>IF(AND(H29&gt;2,
OR(L15="MÉDIA SANEADA",L15="MEDIANA SANEADA",
AND(L15="PREÇO ESTIMADO",NOT(AND(P17="Orçamento",COUNTA(P15:XX15)=COUNTIF(P17:XX17,"Orçamento")))))),
ROW(),0)</f>
        <v>0</v>
      </c>
      <c r="K29" s="66"/>
      <c r="L29" s="29" t="s">
        <v>42</v>
      </c>
      <c r="M29" s="30">
        <f>MIN($P21:$XX21)</f>
        <v>0.25258060943175265</v>
      </c>
      <c r="N29" s="71"/>
      <c r="O29" s="27" t="str">
        <f>"4 RODADA"</f>
        <v>4 RODADA</v>
      </c>
      <c r="P29" s="107">
        <f>IF(P27="","",IF((_xlfn.STDEV.P($P26:$XX27)/AVERAGE($P26:$XX27))&lt;=25%,P27,IF(OR(P27&gt;(AVERAGE($P26:$XX27)+_xlfn.STDEV.P($P26:$XX27)),P27&lt;(AVERAGE($P26:$XX27)-_xlfn.STDEV.P($P26:$XX27))),"DESCARTADO",P27)))</f>
        <v>0.76024232477835585</v>
      </c>
      <c r="Q29" s="107">
        <f t="shared" ref="Q29:AI29" si="9">IF(Q27="","",IF((_xlfn.STDEV.P($P26:$XX27)/AVERAGE($P26:$XX27))&lt;=25%,Q27,IF(OR(Q27&gt;(AVERAGE($P26:$XX27)+_xlfn.STDEV.P($P26:$XX27)),Q27&lt;(AVERAGE($P26:$XX27)-_xlfn.STDEV.P($P26:$XX27))),"DESCARTADO",Q27)))</f>
        <v>0.25258060943175265</v>
      </c>
      <c r="R29" s="107" t="str">
        <f t="shared" si="9"/>
        <v>DESCARTADO</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5.5264637343667475</v>
      </c>
      <c r="N30" s="71"/>
      <c r="O30" s="27" t="str">
        <f>"5 POND"</f>
        <v>5 POND</v>
      </c>
      <c r="P30" s="107">
        <f>IF(IFERROR(VLOOKUP(P17,'Tabela de Apoio'!$D:$E,2,FALSE),1)=1,"",P31)</f>
        <v>0.76024232477835585</v>
      </c>
      <c r="Q30" s="107">
        <f>IF(IFERROR(VLOOKUP(Q17,'Tabela de Apoio'!$D:$E,2,FALSE),1)=1,"",Q31)</f>
        <v>0.25258060943175265</v>
      </c>
      <c r="R30" s="107" t="str">
        <f>IF(IFERROR(VLOOKUP(R17,'Tabela de Apoio'!$D:$E,2,FALSE),1)=1,"",R31)</f>
        <v>DESCARTADO</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2</v>
      </c>
      <c r="I31" s="132">
        <f>_xlfn.STDEV.P($P30:$XX31)/AVERAGE($P30:$XX31)</f>
        <v>0.50123441936326629</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0.76024232477835585</v>
      </c>
      <c r="Q31" s="107">
        <f t="shared" ref="Q31:AI31" si="10">IF(Q29="","",IF((_xlfn.STDEV.P($P28:$XX29)/AVERAGE($P28:$XX29))&lt;=25%,Q29,IF(OR(Q29&gt;(AVERAGE($P28:$XX29)+_xlfn.STDEV.P($P28:$XX29)),Q29&lt;(AVERAGE($P28:$XX29)-_xlfn.STDEV.P($P28:$XX29))),"DESCARTADO",Q29)))</f>
        <v>0.25258060943175265</v>
      </c>
      <c r="R31" s="107" t="str">
        <f t="shared" si="10"/>
        <v>DESCARTADO</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f>IF(IFERROR(VLOOKUP(P17,'Tabela de Apoio'!$D:$E,2,FALSE),1)=1,"",P33)</f>
        <v>0.76024232477835585</v>
      </c>
      <c r="Q32" s="107">
        <f>IF(IFERROR(VLOOKUP(Q17,'Tabela de Apoio'!$D:$E,2,FALSE),1)=1,"",Q33)</f>
        <v>0.25258060943175265</v>
      </c>
      <c r="R32" s="107" t="str">
        <f>IF(IFERROR(VLOOKUP(R17,'Tabela de Apoio'!$D:$E,2,FALSE),1)=1,"",R33)</f>
        <v>DESCARTADO</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2</v>
      </c>
      <c r="I33" s="132">
        <f>_xlfn.STDEV.P($P32:$XX33)/AVERAGE($P32:$XX33)</f>
        <v>0.50123441936326629</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0.76024232477835585</v>
      </c>
      <c r="Q33" s="107">
        <f t="shared" ref="Q33:AI33" si="11">IFERROR(IF(Q31="","",IF((_xlfn.STDEV.P($P30:$XX31)/AVERAGE($P30:$XX31))&lt;=25%,Q31,IF(OR(Q31&gt;(AVERAGE($P30:$XX31)+_xlfn.STDEV.P($P30:$XX31)),Q31&lt;(AVERAGE($P30:$XX31)-_xlfn.STDEV.P($P30:$XX31))),"DESCARTADO",Q31))),)</f>
        <v>0.25258060943175265</v>
      </c>
      <c r="R33" s="107" t="str">
        <f t="shared" si="11"/>
        <v>DESCARTADO</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20525.400000000001</v>
      </c>
      <c r="O34" s="27" t="s">
        <v>363</v>
      </c>
      <c r="P34" s="107">
        <f>INDEX(P21:P33,MATCH(MAX($J21:$J33),$J21:$J33,0))</f>
        <v>0.76024232477835585</v>
      </c>
      <c r="Q34" s="107">
        <f t="shared" ref="Q34:R34" si="12">INDEX(Q21:Q33,MATCH(MAX($J21:$J33),$J21:$J33,0))</f>
        <v>0.25258060943175265</v>
      </c>
      <c r="R34" s="107">
        <f t="shared" si="12"/>
        <v>5.5264637343667475</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6.23</v>
      </c>
      <c r="N36" s="69"/>
      <c r="O36" s="27" t="s">
        <v>17</v>
      </c>
      <c r="P36" s="113">
        <v>5.7</v>
      </c>
      <c r="Q36" s="113">
        <v>6.77</v>
      </c>
      <c r="R36" s="113">
        <v>6.02</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INDEX('[1]BASE FORMAÇÃO'!C:C,B36+1)</f>
        <v>Tratamento Arquivístico Inicial</v>
      </c>
      <c r="I37" s="192"/>
      <c r="J37" s="193"/>
      <c r="K37" s="66"/>
      <c r="L37" s="184"/>
      <c r="M37" s="186"/>
      <c r="N37" s="70"/>
      <c r="O37" s="27" t="s">
        <v>13</v>
      </c>
      <c r="P37" s="122">
        <v>46021</v>
      </c>
      <c r="Q37" s="122">
        <v>46050</v>
      </c>
      <c r="R37" s="122">
        <v>46048</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v>27000</v>
      </c>
      <c r="N38" s="71"/>
      <c r="O38" s="27" t="s">
        <v>380</v>
      </c>
      <c r="P38" s="114" t="s">
        <v>12</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182" t="s">
        <v>438</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c r="I40" s="203"/>
      <c r="J40" s="203"/>
      <c r="K40" s="67"/>
      <c r="L40" s="28" t="s">
        <v>303</v>
      </c>
      <c r="M40" s="133">
        <f t="shared" ref="M40" si="39">IFERROR(INDEX(I42:I54,MATCH(MAX(J42:J54),J42:J54,0)),"")</f>
        <v>7.1640355883489951E-2</v>
      </c>
      <c r="N40" s="71"/>
      <c r="O40" s="27" t="s">
        <v>18</v>
      </c>
      <c r="P40" s="106">
        <f>IF(P36="","",
IF(OR(P38="Orçamento",P37="",MAX('Tabela de Apoio'!$A:$A)&lt;=P37),
P36,
(INDEX('Tabela de Apoio'!$B:$B,MATCH('MAPA DE PREÇOS'!$O$8,'Tabela de Apoio'!$A:$A,1))/INDEX('Tabela de Apoio'!$B:$B,MATCH('MAPA DE PREÇOS'!P37,'Tabela de Apoio'!$A:$A,1)-1))*P36))</f>
        <v>5.7778416683155038</v>
      </c>
      <c r="Q40" s="106">
        <f>IF(Q36="","",
IF(OR(Q38="Orçamento",Q37="",MAX('Tabela de Apoio'!$A:$A)&lt;=Q37),
Q36,
(INDEX('Tabela de Apoio'!$B:$B,MATCH('MAPA DE PREÇOS'!$O$8,'Tabela de Apoio'!$A:$A,1))/INDEX('Tabela de Apoio'!$B:$B,MATCH('MAPA DE PREÇOS'!Q37,'Tabela de Apoio'!$A:$A,1)-1))*Q36))</f>
        <v>6.8398829034118611</v>
      </c>
      <c r="R40" s="106">
        <f>IF(R36="","",
IF(OR(R38="Orçamento",R37="",MAX('Tabela de Apoio'!$A:$A)&lt;=R37),
R36,
(INDEX('Tabela de Apoio'!$B:$B,MATCH('MAPA DE PREÇOS'!$O$8,'Tabela de Apoio'!$A:$A,1))/INDEX('Tabela de Apoio'!$B:$B,MATCH('MAPA DE PREÇOS'!R37,'Tabela de Apoio'!$A:$A,1)-1))*R36))</f>
        <v>6.0821410751166036</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f>IF(IFERROR(VLOOKUP(P38,'Tabela de Apoio'!$D:$E,2,FALSE),1)=1,"",P42)</f>
        <v>5.7778416683155038</v>
      </c>
      <c r="Q41" s="107">
        <f>IF(IFERROR(VLOOKUP(Q38,'Tabela de Apoio'!$D:$E,2,FALSE),1)=1,"",Q42)</f>
        <v>6.8398829034118611</v>
      </c>
      <c r="R41" s="107">
        <f>IF(IFERROR(VLOOKUP(R38,'Tabela de Apoio'!$D:$E,2,FALSE),1)=1,"",R42)</f>
        <v>6.0821410751166036</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7.1640355883489951E-2</v>
      </c>
      <c r="J42" s="7">
        <f>ROW()</f>
        <v>42</v>
      </c>
      <c r="K42" s="67"/>
      <c r="L42" s="29" t="s">
        <v>10</v>
      </c>
      <c r="M42" s="30">
        <f t="shared" ref="M42" si="46">IFERROR(
IF(COUNTA(P36:AI36)=COUNTIF(P38:XX38,"Orçamento"),MIN(M47,M44),
IF(M45&lt;&gt;"",M45,
IF(M46&lt;&gt;"",M46,
M44
))),"")</f>
        <v>6.2332885489479892</v>
      </c>
      <c r="N42" s="71"/>
      <c r="O42" s="27" t="s">
        <v>376</v>
      </c>
      <c r="P42" s="106">
        <f t="shared" ref="P42:AI42" si="47">IFERROR(IF(P40="",
            "",
            IF(COUNT($P40:$XX40)&lt;=4,
               P40,
               IF(OR(P40&gt;(QUARTILE($P40:$XX40,3)+(QUARTILE($P40:$XX40,3)-QUARTILE($P40:$XX40,1))),
                     P40&lt;(QUARTILE($P40:$XX40,1)-(QUARTILE($P40:$XX40,3)-QUARTILE($P40:$XX40,1)))
                  ),
               "DESCARTADO",P40)
             )
  ),P40)</f>
        <v>5.7778416683155038</v>
      </c>
      <c r="Q42" s="106">
        <f t="shared" si="47"/>
        <v>6.8398829034118611</v>
      </c>
      <c r="R42" s="106">
        <f t="shared" si="47"/>
        <v>6.0821410751166036</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6.2332885489479892</v>
      </c>
      <c r="N43" s="71"/>
      <c r="O43" s="27" t="str">
        <f t="shared" ref="O43" si="52">"1 POND"</f>
        <v>1 POND</v>
      </c>
      <c r="P43" s="107">
        <f>IF(IFERROR(VLOOKUP(P38,'Tabela de Apoio'!$D:$E,2,FALSE),1)=1,"",P44)</f>
        <v>5.7778416683155038</v>
      </c>
      <c r="Q43" s="107">
        <f>IF(IFERROR(VLOOKUP(Q38,'Tabela de Apoio'!$D:$E,2,FALSE),1)=1,"",Q44)</f>
        <v>6.8398829034118611</v>
      </c>
      <c r="R43" s="107">
        <f>IF(IFERROR(VLOOKUP(R38,'Tabela de Apoio'!$D:$E,2,FALSE),1)=1,"",R44)</f>
        <v>6.0821410751166036</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3</v>
      </c>
      <c r="I44" s="132">
        <f t="shared" ref="I44" si="54">_xlfn.STDEV.P($P43:$XX44)/AVERAGE($P43:$XX44)</f>
        <v>7.1640355883489951E-2</v>
      </c>
      <c r="J44" s="7">
        <f t="shared" ref="J44" si="55">IF(AND(H44&gt;2,
OR(L36="MÉDIA SANEADA",L36="MEDIANA SANEADA",
AND(L36="PREÇO ESTIMADO",NOT(AND(P38="Orçamento",COUNTA(P36:XX36)=COUNTIF(P38:XX38,"Orçamento")))))),
ROW(),0)</f>
        <v>44</v>
      </c>
      <c r="K44" s="66"/>
      <c r="L44" s="29" t="s">
        <v>361</v>
      </c>
      <c r="M44" s="30">
        <f t="shared" ref="M44" si="56">MEDIAN($P42:$XX42)</f>
        <v>6.0821410751166036</v>
      </c>
      <c r="N44" s="71"/>
      <c r="O44" s="27" t="str">
        <f t="shared" ref="O44" si="57">"1 RODADA"</f>
        <v>1 RODADA</v>
      </c>
      <c r="P44" s="107">
        <f t="shared" ref="P44:AI44" si="58">IF(P42="","",IF((_xlfn.STDEV.P($P41:$XX42)/AVERAGE($P41:$XX42))&lt;=25%,P42,IF(OR(P42&gt;(AVERAGE($P41:$XX42)+_xlfn.STDEV.P($P41:$XX42)),P42&lt;(AVERAGE($P41:$XX42)-_xlfn.STDEV.P($P41:$XX42))),"DESCARTADO",P42)))</f>
        <v>5.7778416683155038</v>
      </c>
      <c r="Q44" s="107">
        <f t="shared" si="58"/>
        <v>6.8398829034118611</v>
      </c>
      <c r="R44" s="107">
        <f t="shared" si="58"/>
        <v>6.0821410751166036</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6.2332885489479892</v>
      </c>
      <c r="N45" s="71"/>
      <c r="O45" s="27" t="str">
        <f t="shared" ref="O45" si="60">"2 POND"</f>
        <v>2 POND</v>
      </c>
      <c r="P45" s="107">
        <f>IF(IFERROR(VLOOKUP(P38,'Tabela de Apoio'!$D:$E,2,FALSE),1)=1,"",P46)</f>
        <v>5.7778416683155038</v>
      </c>
      <c r="Q45" s="107">
        <f>IF(IFERROR(VLOOKUP(Q38,'Tabela de Apoio'!$D:$E,2,FALSE),1)=1,"",Q46)</f>
        <v>6.8398829034118611</v>
      </c>
      <c r="R45" s="107">
        <f>IF(IFERROR(VLOOKUP(R38,'Tabela de Apoio'!$D:$E,2,FALSE),1)=1,"",R46)</f>
        <v>6.0821410751166036</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3</v>
      </c>
      <c r="I46" s="132">
        <f t="shared" ref="I46" si="62">_xlfn.STDEV.P($P45:$XX46)/AVERAGE($P45:$XX46)</f>
        <v>7.1640355883489951E-2</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6.0821410751166036</v>
      </c>
      <c r="N46" s="71"/>
      <c r="O46" s="27" t="str">
        <f t="shared" ref="O46" si="65">"2 RODADA"</f>
        <v>2 RODADA</v>
      </c>
      <c r="P46" s="107">
        <f t="shared" ref="P46:AI46" si="66">IF(P44="","",IF((_xlfn.STDEV.P($P43:$XX44)/AVERAGE($P43:$XX44))&lt;=25%,P44,IF(OR(P44&gt;(AVERAGE($P43:$XX44)+_xlfn.STDEV.P($P43:$XX44)),P44&lt;(AVERAGE($P43:$XX44)-_xlfn.STDEV.P($P43:$XX44))),"DESCARTADO",P44)))</f>
        <v>5.7778416683155038</v>
      </c>
      <c r="Q46" s="107">
        <f t="shared" si="66"/>
        <v>6.8398829034118611</v>
      </c>
      <c r="R46" s="107">
        <f t="shared" si="66"/>
        <v>6.0821410751166036</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6.2022923854833181</v>
      </c>
      <c r="N47" s="71"/>
      <c r="O47" s="27" t="str">
        <f t="shared" ref="O47" si="68">"3 POND"</f>
        <v>3 POND</v>
      </c>
      <c r="P47" s="107">
        <f>IF(IFERROR(VLOOKUP(P38,'Tabela de Apoio'!$D:$E,2,FALSE),1)=1,"",P48)</f>
        <v>5.7778416683155038</v>
      </c>
      <c r="Q47" s="107">
        <f>IF(IFERROR(VLOOKUP(Q38,'Tabela de Apoio'!$D:$E,2,FALSE),1)=1,"",Q48)</f>
        <v>6.8398829034118611</v>
      </c>
      <c r="R47" s="107">
        <f>IF(IFERROR(VLOOKUP(R38,'Tabela de Apoio'!$D:$E,2,FALSE),1)=1,"",R48)</f>
        <v>6.0821410751166036</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3</v>
      </c>
      <c r="I48" s="132">
        <f t="shared" ref="I48" si="70">_xlfn.STDEV.P($P47:$XX48)/AVERAGE($P47:$XX48)</f>
        <v>7.1640355883489951E-2</v>
      </c>
      <c r="J48" s="7">
        <f t="shared" ref="J48" si="71">IF(AND(H48&gt;2,
OR(L36="MÉDIA SANEADA",L36="MEDIANA SANEADA",
AND(L36="PREÇO ESTIMADO",NOT(AND(P38="Orçamento",COUNTA(P36:XX36)=COUNTIF(P38:XX38,"Orçamento")))))),
ROW(),0)</f>
        <v>48</v>
      </c>
      <c r="K48" s="66"/>
      <c r="L48" s="29" t="s">
        <v>41</v>
      </c>
      <c r="M48" s="30">
        <f t="shared" ref="M48" si="72">IFERROR(_xlfn.QUARTILE.EXC($P42:$XX42,1),"")</f>
        <v>5.7778416683155038</v>
      </c>
      <c r="N48" s="71"/>
      <c r="O48" s="27" t="str">
        <f t="shared" ref="O48" si="73">"3 RODADA"</f>
        <v>3 RODADA</v>
      </c>
      <c r="P48" s="107">
        <f t="shared" ref="P48:AI48" si="74">IF(P46="","",IF((_xlfn.STDEV.P($P45:$XX46)/AVERAGE($P45:$XX46))&lt;=25%,P46,IF(OR(P46&gt;(AVERAGE($P45:$XX46)+_xlfn.STDEV.P($P45:$XX46)),P46&lt;(AVERAGE($P45:$XX46)-_xlfn.STDEV.P($P45:$XX46))),"DESCARTADO",P46)))</f>
        <v>5.7778416683155038</v>
      </c>
      <c r="Q48" s="107">
        <f t="shared" si="74"/>
        <v>6.8398829034118611</v>
      </c>
      <c r="R48" s="107">
        <f t="shared" si="74"/>
        <v>6.0821410751166036</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6.8398829034118611</v>
      </c>
      <c r="N49" s="71"/>
      <c r="O49" s="27" t="str">
        <f t="shared" ref="O49" si="76">"4 POND"</f>
        <v>4 POND</v>
      </c>
      <c r="P49" s="107">
        <f>IF(IFERROR(VLOOKUP(P38,'Tabela de Apoio'!$D:$E,2,FALSE),1)=1,"",P50)</f>
        <v>5.7778416683155038</v>
      </c>
      <c r="Q49" s="107">
        <f>IF(IFERROR(VLOOKUP(Q38,'Tabela de Apoio'!$D:$E,2,FALSE),1)=1,"",Q50)</f>
        <v>6.8398829034118611</v>
      </c>
      <c r="R49" s="107">
        <f>IF(IFERROR(VLOOKUP(R38,'Tabela de Apoio'!$D:$E,2,FALSE),1)=1,"",R50)</f>
        <v>6.0821410751166036</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3</v>
      </c>
      <c r="I50" s="132">
        <f t="shared" ref="I50" si="78">_xlfn.STDEV.P($P49:$XX50)/AVERAGE($P49:$XX50)</f>
        <v>7.1640355883489951E-2</v>
      </c>
      <c r="J50" s="7">
        <f t="shared" ref="J50" si="79">IF(AND(H50&gt;2,
OR(L36="MÉDIA SANEADA",L36="MEDIANA SANEADA",
AND(L36="PREÇO ESTIMADO",NOT(AND(P38="Orçamento",COUNTA(P36:XX36)=COUNTIF(P38:XX38,"Orçamento")))))),
ROW(),0)</f>
        <v>50</v>
      </c>
      <c r="K50" s="66"/>
      <c r="L50" s="29" t="s">
        <v>42</v>
      </c>
      <c r="M50" s="30">
        <f t="shared" ref="M50" si="80">MIN($P42:$XX42)</f>
        <v>5.7778416683155038</v>
      </c>
      <c r="N50" s="71"/>
      <c r="O50" s="27" t="str">
        <f t="shared" ref="O50" si="81">"4 RODADA"</f>
        <v>4 RODADA</v>
      </c>
      <c r="P50" s="107">
        <f t="shared" ref="P50:AI50" si="82">IF(P48="","",IF((_xlfn.STDEV.P($P47:$XX48)/AVERAGE($P47:$XX48))&lt;=25%,P48,IF(OR(P48&gt;(AVERAGE($P47:$XX48)+_xlfn.STDEV.P($P47:$XX48)),P48&lt;(AVERAGE($P47:$XX48)-_xlfn.STDEV.P($P47:$XX48))),"DESCARTADO",P48)))</f>
        <v>5.7778416683155038</v>
      </c>
      <c r="Q50" s="107">
        <f t="shared" si="82"/>
        <v>6.8398829034118611</v>
      </c>
      <c r="R50" s="107">
        <f t="shared" si="82"/>
        <v>6.0821410751166036</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6.8398829034118611</v>
      </c>
      <c r="N51" s="71"/>
      <c r="O51" s="27" t="str">
        <f t="shared" ref="O51" si="84">"5 POND"</f>
        <v>5 POND</v>
      </c>
      <c r="P51" s="107">
        <f>IF(IFERROR(VLOOKUP(P38,'Tabela de Apoio'!$D:$E,2,FALSE),1)=1,"",P52)</f>
        <v>5.7778416683155038</v>
      </c>
      <c r="Q51" s="107">
        <f>IF(IFERROR(VLOOKUP(Q38,'Tabela de Apoio'!$D:$E,2,FALSE),1)=1,"",Q52)</f>
        <v>6.8398829034118611</v>
      </c>
      <c r="R51" s="107">
        <f>IF(IFERROR(VLOOKUP(R38,'Tabela de Apoio'!$D:$E,2,FALSE),1)=1,"",R52)</f>
        <v>6.0821410751166036</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3</v>
      </c>
      <c r="I52" s="132">
        <f t="shared" ref="I52" si="86">_xlfn.STDEV.P($P51:$XX52)/AVERAGE($P51:$XX52)</f>
        <v>7.1640355883489951E-2</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5.7778416683155038</v>
      </c>
      <c r="Q52" s="107">
        <f t="shared" si="89"/>
        <v>6.8398829034118611</v>
      </c>
      <c r="R52" s="107">
        <f t="shared" si="89"/>
        <v>6.0821410751166036</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f>IF(IFERROR(VLOOKUP(P38,'Tabela de Apoio'!$D:$E,2,FALSE),1)=1,"",P54)</f>
        <v>5.7778416683155038</v>
      </c>
      <c r="Q53" s="107">
        <f>IF(IFERROR(VLOOKUP(Q38,'Tabela de Apoio'!$D:$E,2,FALSE),1)=1,"",Q54)</f>
        <v>6.8398829034118611</v>
      </c>
      <c r="R53" s="107">
        <f>IF(IFERROR(VLOOKUP(R38,'Tabela de Apoio'!$D:$E,2,FALSE),1)=1,"",R54)</f>
        <v>6.0821410751166036</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3</v>
      </c>
      <c r="I54" s="132">
        <f t="shared" ref="I54" si="92">_xlfn.STDEV.P($P53:$XX54)/AVERAGE($P53:$XX54)</f>
        <v>7.1640355883489951E-2</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5.7778416683155038</v>
      </c>
      <c r="Q54" s="107">
        <f t="shared" si="95"/>
        <v>6.8398829034118611</v>
      </c>
      <c r="R54" s="107">
        <f t="shared" si="95"/>
        <v>6.0821410751166036</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c r="I55" s="204"/>
      <c r="J55" s="205"/>
      <c r="K55" s="67"/>
      <c r="L55" s="1" t="s">
        <v>43</v>
      </c>
      <c r="M55" s="143">
        <f t="shared" ref="M55" si="96">IFERROR(ROUND(M36*M38,2),"")</f>
        <v>168210</v>
      </c>
      <c r="O55" s="27" t="s">
        <v>363</v>
      </c>
      <c r="P55" s="107">
        <f t="shared" ref="P55:AI76" si="97">INDEX(P42:P54,MATCH(MAX($J42:$J54),$J42:$J54,0))</f>
        <v>5.7778416683155038</v>
      </c>
      <c r="Q55" s="107">
        <f t="shared" si="97"/>
        <v>6.8398829034118611</v>
      </c>
      <c r="R55" s="107">
        <f t="shared" si="97"/>
        <v>6.0821410751166036</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1.2</v>
      </c>
      <c r="N57" s="69"/>
      <c r="O57" s="27" t="s">
        <v>17</v>
      </c>
      <c r="P57" s="113">
        <v>1.18</v>
      </c>
      <c r="Q57" s="113">
        <v>1.2</v>
      </c>
      <c r="R57" s="113">
        <v>1.19</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tr">
        <f>INDEX('[1]BASE FORMAÇÃO'!C:C,B57+1)</f>
        <v>Armazenagem física</v>
      </c>
      <c r="I58" s="192"/>
      <c r="J58" s="193"/>
      <c r="K58" s="66"/>
      <c r="L58" s="184"/>
      <c r="M58" s="186"/>
      <c r="N58" s="70"/>
      <c r="O58" s="27" t="s">
        <v>13</v>
      </c>
      <c r="P58" s="122">
        <v>46021</v>
      </c>
      <c r="Q58" s="122">
        <v>46050</v>
      </c>
      <c r="R58" s="122">
        <v>46048</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v>324000</v>
      </c>
      <c r="N59" s="71"/>
      <c r="O59" s="27" t="s">
        <v>380</v>
      </c>
      <c r="P59" s="114" t="s">
        <v>12</v>
      </c>
      <c r="Q59" s="114" t="s">
        <v>12</v>
      </c>
      <c r="R59" s="114" t="s">
        <v>12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182" t="s">
        <v>438</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5.5729351531974627E-3</v>
      </c>
      <c r="N61" s="71"/>
      <c r="O61" s="27" t="s">
        <v>18</v>
      </c>
      <c r="P61" s="106">
        <f>IF(P57="","",
IF(OR(P59="Orçamento",P58="",MAX('Tabela de Apoio'!$A:$A)&lt;=P58),
P57,
(INDEX('Tabela de Apoio'!$B:$B,MATCH('MAPA DE PREÇOS'!$O$8,'Tabela de Apoio'!$A:$A,1))/INDEX('Tabela de Apoio'!$B:$B,MATCH('MAPA DE PREÇOS'!P58,'Tabela de Apoio'!$A:$A,1)-1))*P57))</f>
        <v>1.1961145909846131</v>
      </c>
      <c r="Q61" s="106">
        <f>IF(Q57="","",
IF(OR(Q59="Orçamento",Q58="",MAX('Tabela de Apoio'!$A:$A)&lt;=Q58),
Q57,
(INDEX('Tabela de Apoio'!$B:$B,MATCH('MAPA DE PREÇOS'!$O$8,'Tabela de Apoio'!$A:$A,1))/INDEX('Tabela de Apoio'!$B:$B,MATCH('MAPA DE PREÇOS'!Q58,'Tabela de Apoio'!$A:$A,1)-1))*Q57))</f>
        <v>1.2123869252724127</v>
      </c>
      <c r="R61" s="106">
        <f>IF(R57="","",
IF(OR(R59="Orçamento",R58="",MAX('Tabela de Apoio'!$A:$A)&lt;=R58),
R57,
(INDEX('Tabela de Apoio'!$B:$B,MATCH('MAPA DE PREÇOS'!$O$8,'Tabela de Apoio'!$A:$A,1))/INDEX('Tabela de Apoio'!$B:$B,MATCH('MAPA DE PREÇOS'!R58,'Tabela de Apoio'!$A:$A,1)-1))*R57))</f>
        <v>1.2022837008951426</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f>IF(IFERROR(VLOOKUP(P59,'Tabela de Apoio'!$D:$E,2,FALSE),1)=1,"",P63)</f>
        <v>1.1961145909846131</v>
      </c>
      <c r="Q62" s="107">
        <f>IF(IFERROR(VLOOKUP(Q59,'Tabela de Apoio'!$D:$E,2,FALSE),1)=1,"",Q63)</f>
        <v>1.2123869252724127</v>
      </c>
      <c r="R62" s="107">
        <f>IF(IFERROR(VLOOKUP(R59,'Tabela de Apoio'!$D:$E,2,FALSE),1)=1,"",R63)</f>
        <v>1.2022837008951426</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3</v>
      </c>
      <c r="I63" s="132">
        <f t="shared" ref="I63" si="112">_xlfn.STDEV.P($P62:$XX63)/AVERAGE($P62:$XX63)</f>
        <v>5.5729351531974627E-3</v>
      </c>
      <c r="J63" s="7">
        <f>ROW()</f>
        <v>63</v>
      </c>
      <c r="K63" s="67"/>
      <c r="L63" s="29" t="s">
        <v>10</v>
      </c>
      <c r="M63" s="30">
        <f t="shared" ref="M63" si="113">IFERROR(
IF(COUNTA(P57:AI57)=COUNTIF(P59:XX59,"Orçamento"),MIN(M68,M65),
IF(M66&lt;&gt;"",M66,
IF(M67&lt;&gt;"",M67,
M65
))),"")</f>
        <v>1.2035950723840561</v>
      </c>
      <c r="N63" s="71"/>
      <c r="O63" s="27" t="s">
        <v>376</v>
      </c>
      <c r="P63" s="106">
        <f t="shared" ref="P63:AI63" si="114">IFERROR(IF(P61="",
            "",
            IF(COUNT($P61:$XX61)&lt;=4,
               P61,
               IF(OR(P61&gt;(QUARTILE($P61:$XX61,3)+(QUARTILE($P61:$XX61,3)-QUARTILE($P61:$XX61,1))),
                     P61&lt;(QUARTILE($P61:$XX61,1)-(QUARTILE($P61:$XX61,3)-QUARTILE($P61:$XX61,1)))
                  ),
               "DESCARTADO",P61)
             )
  ),P61)</f>
        <v>1.1961145909846131</v>
      </c>
      <c r="Q63" s="106">
        <f t="shared" si="114"/>
        <v>1.2123869252724127</v>
      </c>
      <c r="R63" s="106">
        <f t="shared" si="114"/>
        <v>1.2022837008951426</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1.2035950723840561</v>
      </c>
      <c r="N64" s="71"/>
      <c r="O64" s="27" t="str">
        <f t="shared" ref="O64" si="118">"1 POND"</f>
        <v>1 POND</v>
      </c>
      <c r="P64" s="107">
        <f>IF(IFERROR(VLOOKUP(P59,'Tabela de Apoio'!$D:$E,2,FALSE),1)=1,"",P65)</f>
        <v>1.1961145909846131</v>
      </c>
      <c r="Q64" s="107">
        <f>IF(IFERROR(VLOOKUP(Q59,'Tabela de Apoio'!$D:$E,2,FALSE),1)=1,"",Q65)</f>
        <v>1.2123869252724127</v>
      </c>
      <c r="R64" s="107">
        <f>IF(IFERROR(VLOOKUP(R59,'Tabela de Apoio'!$D:$E,2,FALSE),1)=1,"",R65)</f>
        <v>1.2022837008951426</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3</v>
      </c>
      <c r="I65" s="132">
        <f t="shared" ref="I65" si="120">_xlfn.STDEV.P($P64:$XX65)/AVERAGE($P64:$XX65)</f>
        <v>5.5729351531974627E-3</v>
      </c>
      <c r="J65" s="7">
        <f t="shared" ref="J65" si="121">IF(AND(H65&gt;2,
OR(L57="MÉDIA SANEADA",L57="MEDIANA SANEADA",
AND(L57="PREÇO ESTIMADO",NOT(AND(P59="Orçamento",COUNTA(P57:XX57)=COUNTIF(P59:XX59,"Orçamento")))))),
ROW(),0)</f>
        <v>65</v>
      </c>
      <c r="K65" s="66"/>
      <c r="L65" s="29" t="s">
        <v>361</v>
      </c>
      <c r="M65" s="30">
        <f t="shared" ref="M65" si="122">MEDIAN($P63:$XX63)</f>
        <v>1.2022837008951426</v>
      </c>
      <c r="N65" s="71"/>
      <c r="O65" s="27" t="str">
        <f t="shared" ref="O65" si="123">"1 RODADA"</f>
        <v>1 RODADA</v>
      </c>
      <c r="P65" s="107">
        <f t="shared" ref="P65:AI65" si="124">IF(P63="","",IF((_xlfn.STDEV.P($P62:$XX63)/AVERAGE($P62:$XX63))&lt;=25%,P63,IF(OR(P63&gt;(AVERAGE($P62:$XX63)+_xlfn.STDEV.P($P62:$XX63)),P63&lt;(AVERAGE($P62:$XX63)-_xlfn.STDEV.P($P62:$XX63))),"DESCARTADO",P63)))</f>
        <v>1.1961145909846131</v>
      </c>
      <c r="Q65" s="107">
        <f t="shared" si="124"/>
        <v>1.2123869252724127</v>
      </c>
      <c r="R65" s="107">
        <f t="shared" si="124"/>
        <v>1.2022837008951426</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1.2035950723840561</v>
      </c>
      <c r="N66" s="71"/>
      <c r="O66" s="27" t="str">
        <f t="shared" ref="O66" si="126">"2 POND"</f>
        <v>2 POND</v>
      </c>
      <c r="P66" s="107">
        <f>IF(IFERROR(VLOOKUP(P59,'Tabela de Apoio'!$D:$E,2,FALSE),1)=1,"",P67)</f>
        <v>1.1961145909846131</v>
      </c>
      <c r="Q66" s="107">
        <f>IF(IFERROR(VLOOKUP(Q59,'Tabela de Apoio'!$D:$E,2,FALSE),1)=1,"",Q67)</f>
        <v>1.2123869252724127</v>
      </c>
      <c r="R66" s="107">
        <f>IF(IFERROR(VLOOKUP(R59,'Tabela de Apoio'!$D:$E,2,FALSE),1)=1,"",R67)</f>
        <v>1.2022837008951426</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3</v>
      </c>
      <c r="I67" s="132">
        <f t="shared" ref="I67" si="128">_xlfn.STDEV.P($P66:$XX67)/AVERAGE($P66:$XX67)</f>
        <v>5.5729351531974627E-3</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1.2022837008951426</v>
      </c>
      <c r="N67" s="71"/>
      <c r="O67" s="27" t="str">
        <f t="shared" ref="O67" si="131">"2 RODADA"</f>
        <v>2 RODADA</v>
      </c>
      <c r="P67" s="107">
        <f t="shared" ref="P67:AI67" si="132">IF(P65="","",IF((_xlfn.STDEV.P($P64:$XX65)/AVERAGE($P64:$XX65))&lt;=25%,P65,IF(OR(P65&gt;(AVERAGE($P64:$XX65)+_xlfn.STDEV.P($P64:$XX65)),P65&lt;(AVERAGE($P64:$XX65)-_xlfn.STDEV.P($P64:$XX65))),"DESCARTADO",P65)))</f>
        <v>1.1961145909846131</v>
      </c>
      <c r="Q67" s="107">
        <f t="shared" si="132"/>
        <v>1.2123869252724127</v>
      </c>
      <c r="R67" s="107">
        <f t="shared" si="132"/>
        <v>1.2022837008951426</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1.2035577505580319</v>
      </c>
      <c r="N68" s="71"/>
      <c r="O68" s="27" t="str">
        <f t="shared" ref="O68" si="134">"3 POND"</f>
        <v>3 POND</v>
      </c>
      <c r="P68" s="107">
        <f>IF(IFERROR(VLOOKUP(P59,'Tabela de Apoio'!$D:$E,2,FALSE),1)=1,"",P69)</f>
        <v>1.1961145909846131</v>
      </c>
      <c r="Q68" s="107">
        <f>IF(IFERROR(VLOOKUP(Q59,'Tabela de Apoio'!$D:$E,2,FALSE),1)=1,"",Q69)</f>
        <v>1.2123869252724127</v>
      </c>
      <c r="R68" s="107">
        <f>IF(IFERROR(VLOOKUP(R59,'Tabela de Apoio'!$D:$E,2,FALSE),1)=1,"",R69)</f>
        <v>1.2022837008951426</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3</v>
      </c>
      <c r="I69" s="132">
        <f t="shared" ref="I69" si="136">_xlfn.STDEV.P($P68:$XX69)/AVERAGE($P68:$XX69)</f>
        <v>5.5729351531974627E-3</v>
      </c>
      <c r="J69" s="7">
        <f t="shared" ref="J69" si="137">IF(AND(H69&gt;2,
OR(L57="MÉDIA SANEADA",L57="MEDIANA SANEADA",
AND(L57="PREÇO ESTIMADO",NOT(AND(P59="Orçamento",COUNTA(P57:XX57)=COUNTIF(P59:XX59,"Orçamento")))))),
ROW(),0)</f>
        <v>69</v>
      </c>
      <c r="K69" s="66"/>
      <c r="L69" s="29" t="s">
        <v>41</v>
      </c>
      <c r="M69" s="30">
        <f t="shared" ref="M69" si="138">IFERROR(_xlfn.QUARTILE.EXC($P63:$XX63,1),"")</f>
        <v>1.1961145909846131</v>
      </c>
      <c r="N69" s="71"/>
      <c r="O69" s="27" t="str">
        <f t="shared" ref="O69" si="139">"3 RODADA"</f>
        <v>3 RODADA</v>
      </c>
      <c r="P69" s="107">
        <f t="shared" ref="P69:AI69" si="140">IF(P67="","",IF((_xlfn.STDEV.P($P66:$XX67)/AVERAGE($P66:$XX67))&lt;=25%,P67,IF(OR(P67&gt;(AVERAGE($P66:$XX67)+_xlfn.STDEV.P($P66:$XX67)),P67&lt;(AVERAGE($P66:$XX67)-_xlfn.STDEV.P($P66:$XX67))),"DESCARTADO",P67)))</f>
        <v>1.1961145909846131</v>
      </c>
      <c r="Q69" s="107">
        <f t="shared" si="140"/>
        <v>1.2123869252724127</v>
      </c>
      <c r="R69" s="107">
        <f t="shared" si="140"/>
        <v>1.2022837008951426</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1.2123869252724127</v>
      </c>
      <c r="N70" s="71"/>
      <c r="O70" s="27" t="str">
        <f t="shared" ref="O70" si="142">"4 POND"</f>
        <v>4 POND</v>
      </c>
      <c r="P70" s="107">
        <f>IF(IFERROR(VLOOKUP(P59,'Tabela de Apoio'!$D:$E,2,FALSE),1)=1,"",P71)</f>
        <v>1.1961145909846131</v>
      </c>
      <c r="Q70" s="107">
        <f>IF(IFERROR(VLOOKUP(Q59,'Tabela de Apoio'!$D:$E,2,FALSE),1)=1,"",Q71)</f>
        <v>1.2123869252724127</v>
      </c>
      <c r="R70" s="107">
        <f>IF(IFERROR(VLOOKUP(R59,'Tabela de Apoio'!$D:$E,2,FALSE),1)=1,"",R71)</f>
        <v>1.2022837008951426</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3</v>
      </c>
      <c r="I71" s="132">
        <f t="shared" ref="I71" si="144">_xlfn.STDEV.P($P70:$XX71)/AVERAGE($P70:$XX71)</f>
        <v>5.5729351531974627E-3</v>
      </c>
      <c r="J71" s="7">
        <f t="shared" ref="J71" si="145">IF(AND(H71&gt;2,
OR(L57="MÉDIA SANEADA",L57="MEDIANA SANEADA",
AND(L57="PREÇO ESTIMADO",NOT(AND(P59="Orçamento",COUNTA(P57:XX57)=COUNTIF(P59:XX59,"Orçamento")))))),
ROW(),0)</f>
        <v>71</v>
      </c>
      <c r="K71" s="66"/>
      <c r="L71" s="29" t="s">
        <v>42</v>
      </c>
      <c r="M71" s="30">
        <f t="shared" ref="M71" si="146">MIN($P63:$XX63)</f>
        <v>1.1961145909846131</v>
      </c>
      <c r="N71" s="71"/>
      <c r="O71" s="27" t="str">
        <f t="shared" ref="O71" si="147">"4 RODADA"</f>
        <v>4 RODADA</v>
      </c>
      <c r="P71" s="107">
        <f t="shared" ref="P71:AI71" si="148">IF(P69="","",IF((_xlfn.STDEV.P($P68:$XX69)/AVERAGE($P68:$XX69))&lt;=25%,P69,IF(OR(P69&gt;(AVERAGE($P68:$XX69)+_xlfn.STDEV.P($P68:$XX69)),P69&lt;(AVERAGE($P68:$XX69)-_xlfn.STDEV.P($P68:$XX69))),"DESCARTADO",P69)))</f>
        <v>1.1961145909846131</v>
      </c>
      <c r="Q71" s="107">
        <f t="shared" si="148"/>
        <v>1.2123869252724127</v>
      </c>
      <c r="R71" s="107">
        <f t="shared" si="148"/>
        <v>1.2022837008951426</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1.2123869252724127</v>
      </c>
      <c r="N72" s="71"/>
      <c r="O72" s="27" t="str">
        <f t="shared" ref="O72" si="150">"5 POND"</f>
        <v>5 POND</v>
      </c>
      <c r="P72" s="107">
        <f>IF(IFERROR(VLOOKUP(P59,'Tabela de Apoio'!$D:$E,2,FALSE),1)=1,"",P73)</f>
        <v>1.1961145909846131</v>
      </c>
      <c r="Q72" s="107">
        <f>IF(IFERROR(VLOOKUP(Q59,'Tabela de Apoio'!$D:$E,2,FALSE),1)=1,"",Q73)</f>
        <v>1.2123869252724127</v>
      </c>
      <c r="R72" s="107">
        <f>IF(IFERROR(VLOOKUP(R59,'Tabela de Apoio'!$D:$E,2,FALSE),1)=1,"",R73)</f>
        <v>1.2022837008951426</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3</v>
      </c>
      <c r="I73" s="132">
        <f t="shared" ref="I73" si="152">_xlfn.STDEV.P($P72:$XX73)/AVERAGE($P72:$XX73)</f>
        <v>5.5729351531974627E-3</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1.1961145909846131</v>
      </c>
      <c r="Q73" s="107">
        <f t="shared" si="155"/>
        <v>1.2123869252724127</v>
      </c>
      <c r="R73" s="107">
        <f t="shared" si="155"/>
        <v>1.2022837008951426</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f>IF(IFERROR(VLOOKUP(P59,'Tabela de Apoio'!$D:$E,2,FALSE),1)=1,"",P75)</f>
        <v>1.1961145909846131</v>
      </c>
      <c r="Q74" s="107">
        <f>IF(IFERROR(VLOOKUP(Q59,'Tabela de Apoio'!$D:$E,2,FALSE),1)=1,"",Q75)</f>
        <v>1.2123869252724127</v>
      </c>
      <c r="R74" s="107">
        <f>IF(IFERROR(VLOOKUP(R59,'Tabela de Apoio'!$D:$E,2,FALSE),1)=1,"",R75)</f>
        <v>1.2022837008951426</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3</v>
      </c>
      <c r="I75" s="132">
        <f t="shared" ref="I75" si="158">_xlfn.STDEV.P($P74:$XX75)/AVERAGE($P74:$XX75)</f>
        <v>5.5729351531974627E-3</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1.1961145909846131</v>
      </c>
      <c r="Q75" s="107">
        <f t="shared" si="161"/>
        <v>1.2123869252724127</v>
      </c>
      <c r="R75" s="107">
        <f t="shared" si="161"/>
        <v>1.2022837008951426</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388800</v>
      </c>
      <c r="O76" s="27" t="s">
        <v>363</v>
      </c>
      <c r="P76" s="107">
        <f t="shared" ref="P76:R76" si="163">INDEX(P63:P75,MATCH(MAX($J63:$J75),$J63:$J75,0))</f>
        <v>1.1961145909846131</v>
      </c>
      <c r="Q76" s="107">
        <f t="shared" si="163"/>
        <v>1.2123869252724127</v>
      </c>
      <c r="R76" s="107">
        <f t="shared" si="163"/>
        <v>1.2022837008951426</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3" t="s">
        <v>10</v>
      </c>
      <c r="M78" s="185">
        <f t="shared" ref="M78" si="166">IF(OR(ISBLANK($O$8),ISBLANK($O$7),ISBLANK($H$8),ISBLANK($O$6),ISBLANK($O$5),ISBLANK($H$5)),"",IFERROR(IF(VLOOKUP(L78,L84:M93,2,FALSE)&lt;1,ROUND(VLOOKUP(L78,L84:M93,2,FALSE),4),ROUND(VLOOKUP(L78,L84:M93,2,FALSE),2)),""))</f>
        <v>6.08</v>
      </c>
      <c r="N78" s="69"/>
      <c r="O78" s="27" t="s">
        <v>17</v>
      </c>
      <c r="P78" s="113">
        <v>1.5</v>
      </c>
      <c r="Q78" s="113">
        <v>6.48</v>
      </c>
      <c r="R78" s="113">
        <v>6.02</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tr">
        <f>INDEX('[1]BASE FORMAÇÃO'!C:C,B78+1)</f>
        <v>Novos Acervos</v>
      </c>
      <c r="I79" s="192"/>
      <c r="J79" s="193"/>
      <c r="K79" s="66"/>
      <c r="L79" s="184"/>
      <c r="M79" s="186"/>
      <c r="N79" s="70"/>
      <c r="O79" s="27" t="s">
        <v>13</v>
      </c>
      <c r="P79" s="122">
        <v>46021</v>
      </c>
      <c r="Q79" s="122">
        <v>46050</v>
      </c>
      <c r="R79" s="122">
        <v>46048</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v>100</v>
      </c>
      <c r="N80" s="71"/>
      <c r="O80" s="27" t="s">
        <v>380</v>
      </c>
      <c r="P80" s="114" t="s">
        <v>12</v>
      </c>
      <c r="Q80" s="114" t="s">
        <v>12</v>
      </c>
      <c r="R80" s="114" t="s">
        <v>12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182" t="s">
        <v>438</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c r="I82" s="203"/>
      <c r="J82" s="203"/>
      <c r="K82" s="67"/>
      <c r="L82" s="28" t="s">
        <v>303</v>
      </c>
      <c r="M82" s="133">
        <f t="shared" ref="M82" si="173">IFERROR(INDEX(I84:I96,MATCH(MAX(J84:J96),J84:J96,0)),"")</f>
        <v>0.48083871666925254</v>
      </c>
      <c r="N82" s="71"/>
      <c r="O82" s="27" t="s">
        <v>18</v>
      </c>
      <c r="P82" s="106">
        <f>IF(P78="","",
IF(OR(P80="Orçamento",P79="",MAX('Tabela de Apoio'!$A:$A)&lt;=P79),
P78,
(INDEX('Tabela de Apoio'!$B:$B,MATCH('MAPA DE PREÇOS'!$O$8,'Tabela de Apoio'!$A:$A,1))/INDEX('Tabela de Apoio'!$B:$B,MATCH('MAPA DE PREÇOS'!P79,'Tabela de Apoio'!$A:$A,1)-1))*P78))</f>
        <v>1.5204846495567117</v>
      </c>
      <c r="Q82" s="106">
        <f>IF(Q78="","",
IF(OR(Q80="Orçamento",Q79="",MAX('Tabela de Apoio'!$A:$A)&lt;=Q79),
Q78,
(INDEX('Tabela de Apoio'!$B:$B,MATCH('MAPA DE PREÇOS'!$O$8,'Tabela de Apoio'!$A:$A,1))/INDEX('Tabela de Apoio'!$B:$B,MATCH('MAPA DE PREÇOS'!Q79,'Tabela de Apoio'!$A:$A,1)-1))*Q78))</f>
        <v>6.5468893964710286</v>
      </c>
      <c r="R82" s="106">
        <f>IF(R78="","",
IF(OR(R80="Orçamento",R79="",MAX('Tabela de Apoio'!$A:$A)&lt;=R79),
R78,
(INDEX('Tabela de Apoio'!$B:$B,MATCH('MAPA DE PREÇOS'!$O$8,'Tabela de Apoio'!$A:$A,1))/INDEX('Tabela de Apoio'!$B:$B,MATCH('MAPA DE PREÇOS'!R79,'Tabela de Apoio'!$A:$A,1)-1))*R78))</f>
        <v>6.0821410751166036</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f>IF(IFERROR(VLOOKUP(P80,'Tabela de Apoio'!$D:$E,2,FALSE),1)=1,"",P84)</f>
        <v>1.5204846495567117</v>
      </c>
      <c r="Q83" s="107">
        <f>IF(IFERROR(VLOOKUP(Q80,'Tabela de Apoio'!$D:$E,2,FALSE),1)=1,"",Q84)</f>
        <v>6.5468893964710286</v>
      </c>
      <c r="R83" s="107">
        <f>IF(IFERROR(VLOOKUP(R80,'Tabela de Apoio'!$D:$E,2,FALSE),1)=1,"",R84)</f>
        <v>6.0821410751166036</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3</v>
      </c>
      <c r="I84" s="132">
        <f t="shared" ref="I84" si="178">_xlfn.STDEV.P($P83:$XX84)/AVERAGE($P83:$XX84)</f>
        <v>0.48083871666925254</v>
      </c>
      <c r="J84" s="7">
        <f>ROW()</f>
        <v>84</v>
      </c>
      <c r="K84" s="67"/>
      <c r="L84" s="29" t="s">
        <v>10</v>
      </c>
      <c r="M84" s="30">
        <f t="shared" ref="M84" si="179">IFERROR(
IF(COUNTA(P78:AI78)=COUNTIF(P80:XX80,"Orçamento"),MIN(M89,M86),
IF(M87&lt;&gt;"",M87,
IF(M88&lt;&gt;"",M88,
M86
))),"")</f>
        <v>6.0821410751166036</v>
      </c>
      <c r="N84" s="71"/>
      <c r="O84" s="27" t="s">
        <v>376</v>
      </c>
      <c r="P84" s="106">
        <f t="shared" ref="P84:AI84" si="180">IFERROR(IF(P82="",
            "",
            IF(COUNT($P82:$XX82)&lt;=4,
               P82,
               IF(OR(P82&gt;(QUARTILE($P82:$XX82,3)+(QUARTILE($P82:$XX82,3)-QUARTILE($P82:$XX82,1))),
                     P82&lt;(QUARTILE($P82:$XX82,1)-(QUARTILE($P82:$XX82,3)-QUARTILE($P82:$XX82,1)))
                  ),
               "DESCARTADO",P82)
             )
  ),P82)</f>
        <v>1.5204846495567117</v>
      </c>
      <c r="Q84" s="106">
        <f t="shared" si="180"/>
        <v>6.5468893964710286</v>
      </c>
      <c r="R84" s="106">
        <f t="shared" si="180"/>
        <v>6.0821410751166036</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4.7165050403814481</v>
      </c>
      <c r="N85" s="71"/>
      <c r="O85" s="27" t="str">
        <f t="shared" ref="O85" si="184">"1 POND"</f>
        <v>1 POND</v>
      </c>
      <c r="P85" s="107" t="str">
        <f>IF(IFERROR(VLOOKUP(P80,'Tabela de Apoio'!$D:$E,2,FALSE),1)=1,"",P86)</f>
        <v>DESCARTADO</v>
      </c>
      <c r="Q85" s="107">
        <f>IF(IFERROR(VLOOKUP(Q80,'Tabela de Apoio'!$D:$E,2,FALSE),1)=1,"",Q86)</f>
        <v>6.5468893964710286</v>
      </c>
      <c r="R85" s="107">
        <f>IF(IFERROR(VLOOKUP(R80,'Tabela de Apoio'!$D:$E,2,FALSE),1)=1,"",R86)</f>
        <v>6.0821410751166036</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2</v>
      </c>
      <c r="I86" s="132">
        <f t="shared" ref="I86" si="186">_xlfn.STDEV.P($P85:$XX86)/AVERAGE($P85:$XX86)</f>
        <v>3.6800000000000006E-2</v>
      </c>
      <c r="J86" s="7">
        <f t="shared" ref="J86" si="187">IF(AND(H86&gt;2,
OR(L78="MÉDIA SANEADA",L78="MEDIANA SANEADA",
AND(L78="PREÇO ESTIMADO",NOT(AND(P80="Orçamento",COUNTA(P78:XX78)=COUNTIF(P80:XX80,"Orçamento")))))),
ROW(),0)</f>
        <v>0</v>
      </c>
      <c r="K86" s="66"/>
      <c r="L86" s="29" t="s">
        <v>361</v>
      </c>
      <c r="M86" s="30">
        <f t="shared" ref="M86" si="188">MEDIAN($P84:$XX84)</f>
        <v>6.0821410751166036</v>
      </c>
      <c r="N86" s="71"/>
      <c r="O86" s="27" t="str">
        <f t="shared" ref="O86" si="189">"1 RODADA"</f>
        <v>1 RODADA</v>
      </c>
      <c r="P86" s="107" t="str">
        <f t="shared" ref="P86:AI86" si="190">IF(P84="","",IF((_xlfn.STDEV.P($P83:$XX84)/AVERAGE($P83:$XX84))&lt;=25%,P84,IF(OR(P84&gt;(AVERAGE($P83:$XX84)+_xlfn.STDEV.P($P83:$XX84)),P84&lt;(AVERAGE($P83:$XX84)-_xlfn.STDEV.P($P83:$XX84))),"DESCARTADO",P84)))</f>
        <v>DESCARTADO</v>
      </c>
      <c r="Q86" s="107">
        <f t="shared" si="190"/>
        <v>6.5468893964710286</v>
      </c>
      <c r="R86" s="107">
        <f t="shared" si="190"/>
        <v>6.0821410751166036</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DESCARTADO</v>
      </c>
      <c r="Q87" s="107">
        <f>IF(IFERROR(VLOOKUP(Q80,'Tabela de Apoio'!$D:$E,2,FALSE),1)=1,"",Q88)</f>
        <v>6.5468893964710286</v>
      </c>
      <c r="R87" s="107">
        <f>IF(IFERROR(VLOOKUP(R80,'Tabela de Apoio'!$D:$E,2,FALSE),1)=1,"",R88)</f>
        <v>6.0821410751166036</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2</v>
      </c>
      <c r="I88" s="132">
        <f t="shared" ref="I88" si="194">_xlfn.STDEV.P($P87:$XX88)/AVERAGE($P87:$XX88)</f>
        <v>3.6800000000000006E-2</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6.0821410751166036</v>
      </c>
      <c r="N88" s="71"/>
      <c r="O88" s="27" t="str">
        <f t="shared" ref="O88" si="197">"2 RODADA"</f>
        <v>2 RODADA</v>
      </c>
      <c r="P88" s="107" t="str">
        <f t="shared" ref="P88:AI88" si="198">IF(P86="","",IF((_xlfn.STDEV.P($P85:$XX86)/AVERAGE($P85:$XX86))&lt;=25%,P86,IF(OR(P86&gt;(AVERAGE($P85:$XX86)+_xlfn.STDEV.P($P85:$XX86)),P86&lt;(AVERAGE($P85:$XX86)-_xlfn.STDEV.P($P85:$XX86))),"DESCARTADO",P86)))</f>
        <v>DESCARTADO</v>
      </c>
      <c r="Q88" s="107">
        <f t="shared" si="198"/>
        <v>6.5468893964710286</v>
      </c>
      <c r="R88" s="107">
        <f t="shared" si="198"/>
        <v>6.0821410751166036</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3.0774119456751587</v>
      </c>
      <c r="N89" s="71"/>
      <c r="O89" s="27" t="str">
        <f t="shared" ref="O89" si="200">"3 POND"</f>
        <v>3 POND</v>
      </c>
      <c r="P89" s="107" t="str">
        <f>IF(IFERROR(VLOOKUP(P80,'Tabela de Apoio'!$D:$E,2,FALSE),1)=1,"",P90)</f>
        <v>DESCARTADO</v>
      </c>
      <c r="Q89" s="107">
        <f>IF(IFERROR(VLOOKUP(Q80,'Tabela de Apoio'!$D:$E,2,FALSE),1)=1,"",Q90)</f>
        <v>6.5468893964710286</v>
      </c>
      <c r="R89" s="107">
        <f>IF(IFERROR(VLOOKUP(R80,'Tabela de Apoio'!$D:$E,2,FALSE),1)=1,"",R90)</f>
        <v>6.0821410751166036</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2</v>
      </c>
      <c r="I90" s="132">
        <f t="shared" ref="I90" si="202">_xlfn.STDEV.P($P89:$XX90)/AVERAGE($P89:$XX90)</f>
        <v>3.6800000000000006E-2</v>
      </c>
      <c r="J90" s="7">
        <f t="shared" ref="J90" si="203">IF(AND(H90&gt;2,
OR(L78="MÉDIA SANEADA",L78="MEDIANA SANEADA",
AND(L78="PREÇO ESTIMADO",NOT(AND(P80="Orçamento",COUNTA(P78:XX78)=COUNTIF(P80:XX80,"Orçamento")))))),
ROW(),0)</f>
        <v>0</v>
      </c>
      <c r="K90" s="66"/>
      <c r="L90" s="29" t="s">
        <v>41</v>
      </c>
      <c r="M90" s="30">
        <f t="shared" ref="M90" si="204">IFERROR(_xlfn.QUARTILE.EXC($P84:$XX84,1),"")</f>
        <v>1.5204846495567117</v>
      </c>
      <c r="N90" s="71"/>
      <c r="O90" s="27" t="str">
        <f t="shared" ref="O90" si="205">"3 RODADA"</f>
        <v>3 RODADA</v>
      </c>
      <c r="P90" s="107" t="str">
        <f t="shared" ref="P90:AI90" si="206">IF(P88="","",IF((_xlfn.STDEV.P($P87:$XX88)/AVERAGE($P87:$XX88))&lt;=25%,P88,IF(OR(P88&gt;(AVERAGE($P87:$XX88)+_xlfn.STDEV.P($P87:$XX88)),P88&lt;(AVERAGE($P87:$XX88)-_xlfn.STDEV.P($P87:$XX88))),"DESCARTADO",P88)))</f>
        <v>DESCARTADO</v>
      </c>
      <c r="Q90" s="107">
        <f t="shared" si="206"/>
        <v>6.5468893964710286</v>
      </c>
      <c r="R90" s="107">
        <f t="shared" si="206"/>
        <v>6.0821410751166036</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f t="shared" ref="M91" si="207">IFERROR(_xlfn.QUARTILE.EXC($P84:$XX84,3),"")</f>
        <v>6.5468893964710286</v>
      </c>
      <c r="N91" s="71"/>
      <c r="O91" s="27" t="str">
        <f t="shared" ref="O91" si="208">"4 POND"</f>
        <v>4 POND</v>
      </c>
      <c r="P91" s="107" t="str">
        <f>IF(IFERROR(VLOOKUP(P80,'Tabela de Apoio'!$D:$E,2,FALSE),1)=1,"",P92)</f>
        <v>DESCARTADO</v>
      </c>
      <c r="Q91" s="107">
        <f>IF(IFERROR(VLOOKUP(Q80,'Tabela de Apoio'!$D:$E,2,FALSE),1)=1,"",Q92)</f>
        <v>6.5468893964710286</v>
      </c>
      <c r="R91" s="107">
        <f>IF(IFERROR(VLOOKUP(R80,'Tabela de Apoio'!$D:$E,2,FALSE),1)=1,"",R92)</f>
        <v>6.0821410751166036</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2</v>
      </c>
      <c r="I92" s="132">
        <f t="shared" ref="I92" si="210">_xlfn.STDEV.P($P91:$XX92)/AVERAGE($P91:$XX92)</f>
        <v>3.6800000000000006E-2</v>
      </c>
      <c r="J92" s="7">
        <f t="shared" ref="J92" si="211">IF(AND(H92&gt;2,
OR(L78="MÉDIA SANEADA",L78="MEDIANA SANEADA",
AND(L78="PREÇO ESTIMADO",NOT(AND(P80="Orçamento",COUNTA(P78:XX78)=COUNTIF(P80:XX80,"Orçamento")))))),
ROW(),0)</f>
        <v>0</v>
      </c>
      <c r="K92" s="66"/>
      <c r="L92" s="29" t="s">
        <v>42</v>
      </c>
      <c r="M92" s="30">
        <f t="shared" ref="M92" si="212">MIN($P84:$XX84)</f>
        <v>1.5204846495567117</v>
      </c>
      <c r="N92" s="71"/>
      <c r="O92" s="27" t="str">
        <f t="shared" ref="O92" si="213">"4 RODADA"</f>
        <v>4 RODADA</v>
      </c>
      <c r="P92" s="107" t="str">
        <f t="shared" ref="P92:AI92" si="214">IF(P90="","",IF((_xlfn.STDEV.P($P89:$XX90)/AVERAGE($P89:$XX90))&lt;=25%,P90,IF(OR(P90&gt;(AVERAGE($P89:$XX90)+_xlfn.STDEV.P($P89:$XX90)),P90&lt;(AVERAGE($P89:$XX90)-_xlfn.STDEV.P($P89:$XX90))),"DESCARTADO",P90)))</f>
        <v>DESCARTADO</v>
      </c>
      <c r="Q92" s="107">
        <f t="shared" si="214"/>
        <v>6.5468893964710286</v>
      </c>
      <c r="R92" s="107">
        <f t="shared" si="214"/>
        <v>6.0821410751166036</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6.5468893964710286</v>
      </c>
      <c r="N93" s="71"/>
      <c r="O93" s="27" t="str">
        <f t="shared" ref="O93" si="216">"5 POND"</f>
        <v>5 POND</v>
      </c>
      <c r="P93" s="107" t="str">
        <f>IF(IFERROR(VLOOKUP(P80,'Tabela de Apoio'!$D:$E,2,FALSE),1)=1,"",P94)</f>
        <v>DESCARTADO</v>
      </c>
      <c r="Q93" s="107">
        <f>IF(IFERROR(VLOOKUP(Q80,'Tabela de Apoio'!$D:$E,2,FALSE),1)=1,"",Q94)</f>
        <v>6.5468893964710286</v>
      </c>
      <c r="R93" s="107">
        <f>IF(IFERROR(VLOOKUP(R80,'Tabela de Apoio'!$D:$E,2,FALSE),1)=1,"",R94)</f>
        <v>6.0821410751166036</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2</v>
      </c>
      <c r="I94" s="132">
        <f t="shared" ref="I94" si="218">_xlfn.STDEV.P($P93:$XX94)/AVERAGE($P93:$XX94)</f>
        <v>3.6800000000000006E-2</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DESCARTADO</v>
      </c>
      <c r="Q94" s="107">
        <f t="shared" si="221"/>
        <v>6.5468893964710286</v>
      </c>
      <c r="R94" s="107">
        <f t="shared" si="221"/>
        <v>6.0821410751166036</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t="str">
        <f>IF(IFERROR(VLOOKUP(P80,'Tabela de Apoio'!$D:$E,2,FALSE),1)=1,"",P96)</f>
        <v>DESCARTADO</v>
      </c>
      <c r="Q95" s="107">
        <f>IF(IFERROR(VLOOKUP(Q80,'Tabela de Apoio'!$D:$E,2,FALSE),1)=1,"",Q96)</f>
        <v>6.5468893964710286</v>
      </c>
      <c r="R95" s="107">
        <f>IF(IFERROR(VLOOKUP(R80,'Tabela de Apoio'!$D:$E,2,FALSE),1)=1,"",R96)</f>
        <v>6.0821410751166036</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2</v>
      </c>
      <c r="I96" s="132">
        <f t="shared" ref="I96" si="224">_xlfn.STDEV.P($P95:$XX96)/AVERAGE($P95:$XX96)</f>
        <v>3.6800000000000006E-2</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DESCARTADO</v>
      </c>
      <c r="Q96" s="107">
        <f t="shared" si="227"/>
        <v>6.5468893964710286</v>
      </c>
      <c r="R96" s="107">
        <f t="shared" si="227"/>
        <v>6.0821410751166036</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608</v>
      </c>
      <c r="O97" s="27" t="s">
        <v>363</v>
      </c>
      <c r="P97" s="107">
        <f t="shared" ref="P97:AI118" si="229">INDEX(P84:P96,MATCH(MAX($J84:$J96),$J84:$J96,0))</f>
        <v>1.5204846495567117</v>
      </c>
      <c r="Q97" s="107">
        <f t="shared" si="229"/>
        <v>6.5468893964710286</v>
      </c>
      <c r="R97" s="107">
        <f t="shared" si="229"/>
        <v>6.0821410751166036</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3" t="s">
        <v>10</v>
      </c>
      <c r="M99" s="185">
        <f t="shared" ref="M99" si="232">IF(OR(ISBLANK($O$8),ISBLANK($O$7),ISBLANK($H$8),ISBLANK($O$6),ISBLANK($O$5),ISBLANK($H$5)),"",IFERROR(IF(VLOOKUP(L99,L105:M114,2,FALSE)&lt;1,ROUND(VLOOKUP(L99,L105:M114,2,FALSE),4),ROUND(VLOOKUP(L99,L105:M114,2,FALSE),2)),""))</f>
        <v>6.32</v>
      </c>
      <c r="N99" s="69"/>
      <c r="O99" s="27" t="s">
        <v>17</v>
      </c>
      <c r="P99" s="113">
        <v>4.99</v>
      </c>
      <c r="Q99" s="113">
        <v>6.38</v>
      </c>
      <c r="R99" s="113">
        <v>7.39</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7">
        <f t="shared" ref="E100" si="234">D99</f>
        <v>5</v>
      </c>
      <c r="F100" s="92"/>
      <c r="G100" s="189" t="s">
        <v>1</v>
      </c>
      <c r="H100" s="192" t="str">
        <f>INDEX('[1]BASE FORMAÇÃO'!C:C,B99+1)</f>
        <v>Pesquisa física e envio de documentos de forma física</v>
      </c>
      <c r="I100" s="192"/>
      <c r="J100" s="193"/>
      <c r="K100" s="66"/>
      <c r="L100" s="184"/>
      <c r="M100" s="186"/>
      <c r="N100" s="70"/>
      <c r="O100" s="27" t="s">
        <v>13</v>
      </c>
      <c r="P100" s="122">
        <v>46021</v>
      </c>
      <c r="Q100" s="122">
        <v>46050</v>
      </c>
      <c r="R100" s="122">
        <v>46048</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8"/>
      <c r="F101" s="93"/>
      <c r="G101" s="190"/>
      <c r="H101" s="194"/>
      <c r="I101" s="194"/>
      <c r="J101" s="195"/>
      <c r="K101" s="64"/>
      <c r="L101" s="130" t="s">
        <v>44</v>
      </c>
      <c r="M101" s="131">
        <v>10</v>
      </c>
      <c r="N101" s="71"/>
      <c r="O101" s="27" t="s">
        <v>380</v>
      </c>
      <c r="P101" s="114" t="s">
        <v>12</v>
      </c>
      <c r="Q101" s="114" t="s">
        <v>12</v>
      </c>
      <c r="R101" s="114" t="s">
        <v>12</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1"/>
      <c r="H102" s="196"/>
      <c r="I102" s="196"/>
      <c r="J102" s="197"/>
      <c r="K102" s="64"/>
      <c r="L102" s="1" t="s">
        <v>2</v>
      </c>
      <c r="M102" s="182" t="s">
        <v>437</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8">
        <f t="shared" ref="E103" si="238">C99</f>
        <v>1</v>
      </c>
      <c r="F103" s="93"/>
      <c r="G103" s="200" t="s">
        <v>304</v>
      </c>
      <c r="H103" s="202"/>
      <c r="I103" s="203"/>
      <c r="J103" s="203"/>
      <c r="K103" s="67"/>
      <c r="L103" s="28" t="s">
        <v>303</v>
      </c>
      <c r="M103" s="133">
        <f t="shared" ref="M103" si="239">IFERROR(INDEX(I105:I117,MATCH(MAX(J105:J117),J105:J117,0)),"")</f>
        <v>0.15607388875076625</v>
      </c>
      <c r="N103" s="71"/>
      <c r="O103" s="27" t="s">
        <v>18</v>
      </c>
      <c r="P103" s="106">
        <f>IF(P99="","",
IF(OR(P101="Orçamento",P100="",MAX('Tabela de Apoio'!$A:$A)&lt;=P100),
P99,
(INDEX('Tabela de Apoio'!$B:$B,MATCH('MAPA DE PREÇOS'!$O$8,'Tabela de Apoio'!$A:$A,1))/INDEX('Tabela de Apoio'!$B:$B,MATCH('MAPA DE PREÇOS'!P100,'Tabela de Apoio'!$A:$A,1)-1))*P99))</f>
        <v>5.0581456008586612</v>
      </c>
      <c r="Q103" s="106">
        <f>IF(Q99="","",
IF(OR(Q101="Orçamento",Q100="",MAX('Tabela de Apoio'!$A:$A)&lt;=Q100),
Q99,
(INDEX('Tabela de Apoio'!$B:$B,MATCH('MAPA DE PREÇOS'!$O$8,'Tabela de Apoio'!$A:$A,1))/INDEX('Tabela de Apoio'!$B:$B,MATCH('MAPA DE PREÇOS'!Q100,'Tabela de Apoio'!$A:$A,1)-1))*Q99))</f>
        <v>6.445857152698327</v>
      </c>
      <c r="R103" s="106">
        <f>IF(R99="","",
IF(OR(R101="Orçamento",R100="",MAX('Tabela de Apoio'!$A:$A)&lt;=R100),
R99,
(INDEX('Tabela de Apoio'!$B:$B,MATCH('MAPA DE PREÇOS'!$O$8,'Tabela de Apoio'!$A:$A,1))/INDEX('Tabela de Apoio'!$B:$B,MATCH('MAPA DE PREÇOS'!R100,'Tabela de Apoio'!$A:$A,1)-1))*R99))</f>
        <v>7.4662828148026081</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9"/>
      <c r="F104" s="93"/>
      <c r="G104" s="201"/>
      <c r="H104"/>
      <c r="I104"/>
      <c r="J104"/>
      <c r="N104" s="71"/>
      <c r="O104" s="27" t="s">
        <v>375</v>
      </c>
      <c r="P104" s="107">
        <f>IF(IFERROR(VLOOKUP(P101,'Tabela de Apoio'!$D:$E,2,FALSE),1)=1,"",P105)</f>
        <v>5.0581456008586612</v>
      </c>
      <c r="Q104" s="107">
        <f>IF(IFERROR(VLOOKUP(Q101,'Tabela de Apoio'!$D:$E,2,FALSE),1)=1,"",Q105)</f>
        <v>6.445857152698327</v>
      </c>
      <c r="R104" s="107">
        <f>IF(IFERROR(VLOOKUP(R101,'Tabela de Apoio'!$D:$E,2,FALSE),1)=1,"",R105)</f>
        <v>7.4662828148026081</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9"/>
      <c r="F105" s="93"/>
      <c r="G105" s="201"/>
      <c r="H105" s="134">
        <f t="shared" ref="H105" si="243">COUNT($P105:$XX105)</f>
        <v>3</v>
      </c>
      <c r="I105" s="132">
        <f t="shared" ref="I105" si="244">_xlfn.STDEV.P($P104:$XX105)/AVERAGE($P104:$XX105)</f>
        <v>0.15607388875076625</v>
      </c>
      <c r="J105" s="7">
        <f>ROW()</f>
        <v>105</v>
      </c>
      <c r="K105" s="67"/>
      <c r="L105" s="29" t="s">
        <v>10</v>
      </c>
      <c r="M105" s="30">
        <f t="shared" ref="M105" si="245">IFERROR(
IF(COUNTA(P99:AI99)=COUNTIF(P101:XX101,"Orçamento"),MIN(M110,M107),
IF(M108&lt;&gt;"",M108,
IF(M109&lt;&gt;"",M109,
M107
))),"")</f>
        <v>6.3234285227865321</v>
      </c>
      <c r="N105" s="71"/>
      <c r="O105" s="27" t="s">
        <v>376</v>
      </c>
      <c r="P105" s="106">
        <f t="shared" ref="P105:AI105" si="246">IFERROR(IF(P103="",
            "",
            IF(COUNT($P103:$XX103)&lt;=4,
               P103,
               IF(OR(P103&gt;(QUARTILE($P103:$XX103,3)+(QUARTILE($P103:$XX103,3)-QUARTILE($P103:$XX103,1))),
                     P103&lt;(QUARTILE($P103:$XX103,1)-(QUARTILE($P103:$XX103,3)-QUARTILE($P103:$XX103,1)))
                  ),
               "DESCARTADO",P103)
             )
  ),P103)</f>
        <v>5.0581456008586612</v>
      </c>
      <c r="Q105" s="106">
        <f t="shared" si="246"/>
        <v>6.445857152698327</v>
      </c>
      <c r="R105" s="106">
        <f t="shared" si="246"/>
        <v>7.4662828148026081</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9"/>
      <c r="F106" s="93"/>
      <c r="G106" s="201"/>
      <c r="H106"/>
      <c r="I106"/>
      <c r="J106"/>
      <c r="K106" s="66"/>
      <c r="L106" s="29" t="s">
        <v>360</v>
      </c>
      <c r="M106" s="30">
        <f t="shared" ref="M106" si="249">AVERAGE($P105:$XX105)</f>
        <v>6.3234285227865321</v>
      </c>
      <c r="N106" s="71"/>
      <c r="O106" s="27" t="str">
        <f t="shared" ref="O106" si="250">"1 POND"</f>
        <v>1 POND</v>
      </c>
      <c r="P106" s="107">
        <f>IF(IFERROR(VLOOKUP(P101,'Tabela de Apoio'!$D:$E,2,FALSE),1)=1,"",P107)</f>
        <v>5.0581456008586612</v>
      </c>
      <c r="Q106" s="107">
        <f>IF(IFERROR(VLOOKUP(Q101,'Tabela de Apoio'!$D:$E,2,FALSE),1)=1,"",Q107)</f>
        <v>6.445857152698327</v>
      </c>
      <c r="R106" s="107">
        <f>IF(IFERROR(VLOOKUP(R101,'Tabela de Apoio'!$D:$E,2,FALSE),1)=1,"",R107)</f>
        <v>7.4662828148026081</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9"/>
      <c r="F107" s="93"/>
      <c r="G107" s="201"/>
      <c r="H107" s="134">
        <f t="shared" ref="H107" si="251">COUNT($P107:$XX107)</f>
        <v>3</v>
      </c>
      <c r="I107" s="132">
        <f t="shared" ref="I107" si="252">_xlfn.STDEV.P($P106:$XX107)/AVERAGE($P106:$XX107)</f>
        <v>0.15607388875076625</v>
      </c>
      <c r="J107" s="7">
        <f t="shared" ref="J107" si="253">IF(AND(H107&gt;2,
OR(L99="MÉDIA SANEADA",L99="MEDIANA SANEADA",
AND(L99="PREÇO ESTIMADO",NOT(AND(P101="Orçamento",COUNTA(P99:XX99)=COUNTIF(P101:XX101,"Orçamento")))))),
ROW(),0)</f>
        <v>107</v>
      </c>
      <c r="K107" s="66"/>
      <c r="L107" s="29" t="s">
        <v>361</v>
      </c>
      <c r="M107" s="30">
        <f t="shared" ref="M107" si="254">MEDIAN($P105:$XX105)</f>
        <v>6.445857152698327</v>
      </c>
      <c r="N107" s="71"/>
      <c r="O107" s="27" t="str">
        <f t="shared" ref="O107" si="255">"1 RODADA"</f>
        <v>1 RODADA</v>
      </c>
      <c r="P107" s="107">
        <f t="shared" ref="P107:AI107" si="256">IF(P105="","",IF((_xlfn.STDEV.P($P104:$XX105)/AVERAGE($P104:$XX105))&lt;=25%,P105,IF(OR(P105&gt;(AVERAGE($P104:$XX105)+_xlfn.STDEV.P($P104:$XX105)),P105&lt;(AVERAGE($P104:$XX105)-_xlfn.STDEV.P($P104:$XX105))),"DESCARTADO",P105)))</f>
        <v>5.0581456008586612</v>
      </c>
      <c r="Q107" s="107">
        <f t="shared" si="256"/>
        <v>6.445857152698327</v>
      </c>
      <c r="R107" s="107">
        <f t="shared" si="256"/>
        <v>7.4662828148026081</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9"/>
      <c r="F108" s="93"/>
      <c r="G108" s="201"/>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6.3234285227865321</v>
      </c>
      <c r="N108" s="71"/>
      <c r="O108" s="27" t="str">
        <f t="shared" ref="O108" si="258">"2 POND"</f>
        <v>2 POND</v>
      </c>
      <c r="P108" s="107">
        <f>IF(IFERROR(VLOOKUP(P101,'Tabela de Apoio'!$D:$E,2,FALSE),1)=1,"",P109)</f>
        <v>5.0581456008586612</v>
      </c>
      <c r="Q108" s="107">
        <f>IF(IFERROR(VLOOKUP(Q101,'Tabela de Apoio'!$D:$E,2,FALSE),1)=1,"",Q109)</f>
        <v>6.445857152698327</v>
      </c>
      <c r="R108" s="107">
        <f>IF(IFERROR(VLOOKUP(R101,'Tabela de Apoio'!$D:$E,2,FALSE),1)=1,"",R109)</f>
        <v>7.4662828148026081</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9"/>
      <c r="F109" s="93"/>
      <c r="G109" s="201"/>
      <c r="H109" s="134">
        <f t="shared" ref="H109" si="259">COUNT($P109:$XX109)</f>
        <v>3</v>
      </c>
      <c r="I109" s="132">
        <f t="shared" ref="I109" si="260">_xlfn.STDEV.P($P108:$XX109)/AVERAGE($P108:$XX109)</f>
        <v>0.15607388875076625</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6.445857152698327</v>
      </c>
      <c r="N109" s="71"/>
      <c r="O109" s="27" t="str">
        <f t="shared" ref="O109" si="263">"2 RODADA"</f>
        <v>2 RODADA</v>
      </c>
      <c r="P109" s="107">
        <f t="shared" ref="P109:AI109" si="264">IF(P107="","",IF((_xlfn.STDEV.P($P106:$XX107)/AVERAGE($P106:$XX107))&lt;=25%,P107,IF(OR(P107&gt;(AVERAGE($P106:$XX107)+_xlfn.STDEV.P($P106:$XX107)),P107&lt;(AVERAGE($P106:$XX107)-_xlfn.STDEV.P($P106:$XX107))),"DESCARTADO",P107)))</f>
        <v>5.0581456008586612</v>
      </c>
      <c r="Q109" s="107">
        <f t="shared" si="264"/>
        <v>6.445857152698327</v>
      </c>
      <c r="R109" s="107">
        <f t="shared" si="264"/>
        <v>7.4662828148026081</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9"/>
      <c r="F110" s="93"/>
      <c r="G110" s="201"/>
      <c r="H110"/>
      <c r="I110"/>
      <c r="J110"/>
      <c r="K110" s="66"/>
      <c r="L110" s="29" t="s">
        <v>359</v>
      </c>
      <c r="M110" s="30">
        <f t="shared" ref="M110" si="265">HARMEAN($P104:$XX105)</f>
        <v>6.1630145121763729</v>
      </c>
      <c r="N110" s="71"/>
      <c r="O110" s="27" t="str">
        <f t="shared" ref="O110" si="266">"3 POND"</f>
        <v>3 POND</v>
      </c>
      <c r="P110" s="107">
        <f>IF(IFERROR(VLOOKUP(P101,'Tabela de Apoio'!$D:$E,2,FALSE),1)=1,"",P111)</f>
        <v>5.0581456008586612</v>
      </c>
      <c r="Q110" s="107">
        <f>IF(IFERROR(VLOOKUP(Q101,'Tabela de Apoio'!$D:$E,2,FALSE),1)=1,"",Q111)</f>
        <v>6.445857152698327</v>
      </c>
      <c r="R110" s="107">
        <f>IF(IFERROR(VLOOKUP(R101,'Tabela de Apoio'!$D:$E,2,FALSE),1)=1,"",R111)</f>
        <v>7.4662828148026081</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9"/>
      <c r="F111" s="93"/>
      <c r="G111" s="201"/>
      <c r="H111" s="134">
        <f t="shared" ref="H111" si="267">COUNT($P111:$XX111)</f>
        <v>3</v>
      </c>
      <c r="I111" s="132">
        <f t="shared" ref="I111" si="268">_xlfn.STDEV.P($P110:$XX111)/AVERAGE($P110:$XX111)</f>
        <v>0.15607388875076625</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5.0581456008586612</v>
      </c>
      <c r="N111" s="71"/>
      <c r="O111" s="27" t="str">
        <f t="shared" ref="O111" si="271">"3 RODADA"</f>
        <v>3 RODADA</v>
      </c>
      <c r="P111" s="107">
        <f t="shared" ref="P111:AI111" si="272">IF(P109="","",IF((_xlfn.STDEV.P($P108:$XX109)/AVERAGE($P108:$XX109))&lt;=25%,P109,IF(OR(P109&gt;(AVERAGE($P108:$XX109)+_xlfn.STDEV.P($P108:$XX109)),P109&lt;(AVERAGE($P108:$XX109)-_xlfn.STDEV.P($P108:$XX109))),"DESCARTADO",P109)))</f>
        <v>5.0581456008586612</v>
      </c>
      <c r="Q111" s="107">
        <f t="shared" si="272"/>
        <v>6.445857152698327</v>
      </c>
      <c r="R111" s="107">
        <f t="shared" si="272"/>
        <v>7.4662828148026081</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9"/>
      <c r="F112" s="93"/>
      <c r="G112" s="201"/>
      <c r="H112"/>
      <c r="I112"/>
      <c r="J112"/>
      <c r="K112" s="66"/>
      <c r="L112" s="29" t="s">
        <v>39</v>
      </c>
      <c r="M112" s="30">
        <f t="shared" ref="M112" si="273">IFERROR(_xlfn.QUARTILE.EXC($P105:$XX105,3),"")</f>
        <v>7.4662828148026081</v>
      </c>
      <c r="N112" s="71"/>
      <c r="O112" s="27" t="str">
        <f t="shared" ref="O112" si="274">"4 POND"</f>
        <v>4 POND</v>
      </c>
      <c r="P112" s="107">
        <f>IF(IFERROR(VLOOKUP(P101,'Tabela de Apoio'!$D:$E,2,FALSE),1)=1,"",P113)</f>
        <v>5.0581456008586612</v>
      </c>
      <c r="Q112" s="107">
        <f>IF(IFERROR(VLOOKUP(Q101,'Tabela de Apoio'!$D:$E,2,FALSE),1)=1,"",Q113)</f>
        <v>6.445857152698327</v>
      </c>
      <c r="R112" s="107">
        <f>IF(IFERROR(VLOOKUP(R101,'Tabela de Apoio'!$D:$E,2,FALSE),1)=1,"",R113)</f>
        <v>7.4662828148026081</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9"/>
      <c r="F113" s="93"/>
      <c r="G113" s="201"/>
      <c r="H113" s="134">
        <f t="shared" ref="H113" si="275">COUNT($P113:$XX113)</f>
        <v>3</v>
      </c>
      <c r="I113" s="132">
        <f t="shared" ref="I113" si="276">_xlfn.STDEV.P($P112:$XX113)/AVERAGE($P112:$XX113)</f>
        <v>0.15607388875076625</v>
      </c>
      <c r="J113" s="7">
        <f t="shared" ref="J113" si="277">IF(AND(H113&gt;2,
OR(L99="MÉDIA SANEADA",L99="MEDIANA SANEADA",
AND(L99="PREÇO ESTIMADO",NOT(AND(P101="Orçamento",COUNTA(P99:XX99)=COUNTIF(P101:XX101,"Orçamento")))))),
ROW(),0)</f>
        <v>113</v>
      </c>
      <c r="K113" s="66"/>
      <c r="L113" s="29" t="s">
        <v>42</v>
      </c>
      <c r="M113" s="30">
        <f t="shared" ref="M113" si="278">MIN($P105:$XX105)</f>
        <v>5.0581456008586612</v>
      </c>
      <c r="N113" s="71"/>
      <c r="O113" s="27" t="str">
        <f t="shared" ref="O113" si="279">"4 RODADA"</f>
        <v>4 RODADA</v>
      </c>
      <c r="P113" s="107">
        <f t="shared" ref="P113:AI113" si="280">IF(P111="","",IF((_xlfn.STDEV.P($P110:$XX111)/AVERAGE($P110:$XX111))&lt;=25%,P111,IF(OR(P111&gt;(AVERAGE($P110:$XX111)+_xlfn.STDEV.P($P110:$XX111)),P111&lt;(AVERAGE($P110:$XX111)-_xlfn.STDEV.P($P110:$XX111))),"DESCARTADO",P111)))</f>
        <v>5.0581456008586612</v>
      </c>
      <c r="Q113" s="107">
        <f t="shared" si="280"/>
        <v>6.445857152698327</v>
      </c>
      <c r="R113" s="107">
        <f t="shared" si="280"/>
        <v>7.4662828148026081</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9"/>
      <c r="F114" s="93"/>
      <c r="G114" s="201"/>
      <c r="H114"/>
      <c r="I114"/>
      <c r="J114"/>
      <c r="K114" s="66"/>
      <c r="L114" s="29" t="s">
        <v>40</v>
      </c>
      <c r="M114" s="30">
        <f t="shared" ref="M114" si="281">MAX($P105:$XX105)</f>
        <v>7.4662828148026081</v>
      </c>
      <c r="N114" s="71"/>
      <c r="O114" s="27" t="str">
        <f t="shared" ref="O114" si="282">"5 POND"</f>
        <v>5 POND</v>
      </c>
      <c r="P114" s="107">
        <f>IF(IFERROR(VLOOKUP(P101,'Tabela de Apoio'!$D:$E,2,FALSE),1)=1,"",P115)</f>
        <v>5.0581456008586612</v>
      </c>
      <c r="Q114" s="107">
        <f>IF(IFERROR(VLOOKUP(Q101,'Tabela de Apoio'!$D:$E,2,FALSE),1)=1,"",Q115)</f>
        <v>6.445857152698327</v>
      </c>
      <c r="R114" s="107">
        <f>IF(IFERROR(VLOOKUP(R101,'Tabela de Apoio'!$D:$E,2,FALSE),1)=1,"",R115)</f>
        <v>7.4662828148026081</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9"/>
      <c r="F115" s="93"/>
      <c r="G115" s="201"/>
      <c r="H115" s="134">
        <f t="shared" ref="H115" si="283">COUNT($P115:$XX115)</f>
        <v>3</v>
      </c>
      <c r="I115" s="132">
        <f t="shared" ref="I115" si="284">_xlfn.STDEV.P($P114:$XX115)/AVERAGE($P114:$XX115)</f>
        <v>0.15607388875076625</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5.0581456008586612</v>
      </c>
      <c r="Q115" s="107">
        <f t="shared" si="287"/>
        <v>6.445857152698327</v>
      </c>
      <c r="R115" s="107">
        <f t="shared" si="287"/>
        <v>7.4662828148026081</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9"/>
      <c r="F116" s="93"/>
      <c r="G116" s="201"/>
      <c r="H116"/>
      <c r="I116"/>
      <c r="J116"/>
      <c r="K116" s="66"/>
      <c r="L116" s="22"/>
      <c r="M116" s="22"/>
      <c r="N116" s="71"/>
      <c r="O116" s="27" t="str">
        <f t="shared" ref="O116" si="288">"6 POND"</f>
        <v>6 POND</v>
      </c>
      <c r="P116" s="107">
        <f>IF(IFERROR(VLOOKUP(P101,'Tabela de Apoio'!$D:$E,2,FALSE),1)=1,"",P117)</f>
        <v>5.0581456008586612</v>
      </c>
      <c r="Q116" s="107">
        <f>IF(IFERROR(VLOOKUP(Q101,'Tabela de Apoio'!$D:$E,2,FALSE),1)=1,"",Q117)</f>
        <v>6.445857152698327</v>
      </c>
      <c r="R116" s="107">
        <f>IF(IFERROR(VLOOKUP(R101,'Tabela de Apoio'!$D:$E,2,FALSE),1)=1,"",R117)</f>
        <v>7.4662828148026081</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9"/>
      <c r="F117" s="93"/>
      <c r="G117" s="201"/>
      <c r="H117" s="134">
        <f t="shared" ref="H117" si="289">COUNT($P117:$XX117)</f>
        <v>3</v>
      </c>
      <c r="I117" s="132">
        <f t="shared" ref="I117" si="290">_xlfn.STDEV.P($P116:$XX117)/AVERAGE($P116:$XX117)</f>
        <v>0.15607388875076625</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5.0581456008586612</v>
      </c>
      <c r="Q117" s="107">
        <f t="shared" si="293"/>
        <v>6.445857152698327</v>
      </c>
      <c r="R117" s="107">
        <f t="shared" si="293"/>
        <v>7.4662828148026081</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9"/>
      <c r="F118" s="136"/>
      <c r="G118" s="201"/>
      <c r="H118" s="204"/>
      <c r="I118" s="204"/>
      <c r="J118" s="205"/>
      <c r="K118" s="67"/>
      <c r="L118" s="1" t="s">
        <v>43</v>
      </c>
      <c r="M118" s="143">
        <f t="shared" ref="M118" si="294">IFERROR(ROUND(M99*M101,2),"")</f>
        <v>63.2</v>
      </c>
      <c r="O118" s="27" t="s">
        <v>363</v>
      </c>
      <c r="P118" s="107">
        <f t="shared" ref="P118:R118" si="295">INDEX(P105:P117,MATCH(MAX($J105:$J117),$J105:$J117,0))</f>
        <v>5.0581456008586612</v>
      </c>
      <c r="Q118" s="107">
        <f t="shared" si="295"/>
        <v>6.445857152698327</v>
      </c>
      <c r="R118" s="107">
        <f t="shared" si="295"/>
        <v>7.4662828148026081</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3" t="s">
        <v>10</v>
      </c>
      <c r="M120" s="185">
        <f t="shared" ref="M120" si="298">IF(OR(ISBLANK($O$8),ISBLANK($O$7),ISBLANK($H$8),ISBLANK($O$6),ISBLANK($O$5),ISBLANK($H$5)),"",IFERROR(IF(VLOOKUP(L120,L126:M135,2,FALSE)&lt;1,ROUND(VLOOKUP(L120,L126:M135,2,FALSE),4),ROUND(VLOOKUP(L120,L126:M135,2,FALSE),2)),""))</f>
        <v>0.61629999999999996</v>
      </c>
      <c r="N120" s="69"/>
      <c r="O120" s="27" t="s">
        <v>17</v>
      </c>
      <c r="P120" s="113">
        <v>0.4</v>
      </c>
      <c r="Q120" s="113">
        <v>0.61</v>
      </c>
      <c r="R120" s="113">
        <v>8.2100000000000009</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7">
        <f t="shared" ref="E121" si="300">D120</f>
        <v>6</v>
      </c>
      <c r="F121" s="92"/>
      <c r="G121" s="189" t="s">
        <v>1</v>
      </c>
      <c r="H121" s="192" t="str">
        <f>INDEX('[1]BASE FORMAÇÃO'!C:C,B120+1)</f>
        <v>Pesquisa física e envio de documentos de forma digital</v>
      </c>
      <c r="I121" s="192"/>
      <c r="J121" s="193"/>
      <c r="K121" s="66"/>
      <c r="L121" s="184"/>
      <c r="M121" s="186"/>
      <c r="N121" s="70"/>
      <c r="O121" s="27" t="s">
        <v>13</v>
      </c>
      <c r="P121" s="122">
        <v>46021</v>
      </c>
      <c r="Q121" s="122">
        <v>46050</v>
      </c>
      <c r="R121" s="122">
        <v>46048</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8"/>
      <c r="F122" s="93"/>
      <c r="G122" s="190"/>
      <c r="H122" s="194"/>
      <c r="I122" s="194"/>
      <c r="J122" s="195"/>
      <c r="K122" s="64"/>
      <c r="L122" s="130" t="s">
        <v>44</v>
      </c>
      <c r="M122" s="131">
        <v>500</v>
      </c>
      <c r="N122" s="71"/>
      <c r="O122" s="27" t="s">
        <v>380</v>
      </c>
      <c r="P122" s="114" t="s">
        <v>12</v>
      </c>
      <c r="Q122" s="114" t="s">
        <v>12</v>
      </c>
      <c r="R122" s="114" t="s">
        <v>12</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1"/>
      <c r="H123" s="196"/>
      <c r="I123" s="196"/>
      <c r="J123" s="197"/>
      <c r="K123" s="64"/>
      <c r="L123" s="1" t="s">
        <v>2</v>
      </c>
      <c r="M123" s="182" t="s">
        <v>436</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8">
        <f t="shared" ref="E124" si="304">C120</f>
        <v>1</v>
      </c>
      <c r="F124" s="93"/>
      <c r="G124" s="200" t="s">
        <v>304</v>
      </c>
      <c r="H124" s="202"/>
      <c r="I124" s="203"/>
      <c r="J124" s="203"/>
      <c r="K124" s="67"/>
      <c r="L124" s="28" t="s">
        <v>303</v>
      </c>
      <c r="M124" s="133">
        <f t="shared" ref="M124" si="305">IFERROR(INDEX(I126:I138,MATCH(MAX(J126:J138),J126:J138,0)),"")</f>
        <v>1.1818892901238314</v>
      </c>
      <c r="N124" s="71"/>
      <c r="O124" s="27" t="s">
        <v>18</v>
      </c>
      <c r="P124" s="106">
        <f>IF(P120="","",
IF(OR(P122="Orçamento",P121="",MAX('Tabela de Apoio'!$A:$A)&lt;=P121),
P120,
(INDEX('Tabela de Apoio'!$B:$B,MATCH('MAPA DE PREÇOS'!$O$8,'Tabela de Apoio'!$A:$A,1))/INDEX('Tabela de Apoio'!$B:$B,MATCH('MAPA DE PREÇOS'!P121,'Tabela de Apoio'!$A:$A,1)-1))*P120))</f>
        <v>0.40546257321512313</v>
      </c>
      <c r="Q124" s="106">
        <f>IF(Q120="","",
IF(OR(Q122="Orçamento",Q121="",MAX('Tabela de Apoio'!$A:$A)&lt;=Q121),
Q120,
(INDEX('Tabela de Apoio'!$B:$B,MATCH('MAPA DE PREÇOS'!$O$8,'Tabela de Apoio'!$A:$A,1))/INDEX('Tabela de Apoio'!$B:$B,MATCH('MAPA DE PREÇOS'!Q121,'Tabela de Apoio'!$A:$A,1)-1))*Q120))</f>
        <v>0.6162966870134764</v>
      </c>
      <c r="R124" s="106">
        <f>IF(R120="","",
IF(OR(R122="Orçamento",R121="",MAX('Tabela de Apoio'!$A:$A)&lt;=R121),
R120,
(INDEX('Tabela de Apoio'!$B:$B,MATCH('MAPA DE PREÇOS'!$O$8,'Tabela de Apoio'!$A:$A,1))/INDEX('Tabela de Apoio'!$B:$B,MATCH('MAPA DE PREÇOS'!R121,'Tabela de Apoio'!$A:$A,1)-1))*R120))</f>
        <v>8.2947472137387575</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9"/>
      <c r="F125" s="93"/>
      <c r="G125" s="201"/>
      <c r="H125"/>
      <c r="I125"/>
      <c r="J125"/>
      <c r="N125" s="71"/>
      <c r="O125" s="27" t="s">
        <v>375</v>
      </c>
      <c r="P125" s="107">
        <f>IF(IFERROR(VLOOKUP(P122,'Tabela de Apoio'!$D:$E,2,FALSE),1)=1,"",P126)</f>
        <v>0.40546257321512313</v>
      </c>
      <c r="Q125" s="107">
        <f>IF(IFERROR(VLOOKUP(Q122,'Tabela de Apoio'!$D:$E,2,FALSE),1)=1,"",Q126)</f>
        <v>0.6162966870134764</v>
      </c>
      <c r="R125" s="107">
        <f>IF(IFERROR(VLOOKUP(R122,'Tabela de Apoio'!$D:$E,2,FALSE),1)=1,"",R126)</f>
        <v>8.2947472137387575</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9"/>
      <c r="F126" s="93"/>
      <c r="G126" s="201"/>
      <c r="H126" s="134">
        <f t="shared" ref="H126" si="309">COUNT($P126:$XX126)</f>
        <v>3</v>
      </c>
      <c r="I126" s="132">
        <f t="shared" ref="I126" si="310">_xlfn.STDEV.P($P125:$XX126)/AVERAGE($P125:$XX126)</f>
        <v>1.1818892901238314</v>
      </c>
      <c r="J126" s="7">
        <f>ROW()</f>
        <v>126</v>
      </c>
      <c r="K126" s="67"/>
      <c r="L126" s="29" t="s">
        <v>10</v>
      </c>
      <c r="M126" s="30">
        <f t="shared" ref="M126" si="311">IFERROR(
IF(COUNTA(P120:AI120)=COUNTIF(P122:XX122,"Orçamento"),MIN(M131,M128),
IF(M129&lt;&gt;"",M129,
IF(M130&lt;&gt;"",M130,
M128
))),"")</f>
        <v>0.6162966870134764</v>
      </c>
      <c r="N126" s="71"/>
      <c r="O126" s="27" t="s">
        <v>376</v>
      </c>
      <c r="P126" s="106">
        <f t="shared" ref="P126:AI126" si="312">IFERROR(IF(P124="",
            "",
            IF(COUNT($P124:$XX124)&lt;=4,
               P124,
               IF(OR(P124&gt;(QUARTILE($P124:$XX124,3)+(QUARTILE($P124:$XX124,3)-QUARTILE($P124:$XX124,1))),
                     P124&lt;(QUARTILE($P124:$XX124,1)-(QUARTILE($P124:$XX124,3)-QUARTILE($P124:$XX124,1)))
                  ),
               "DESCARTADO",P124)
             )
  ),P124)</f>
        <v>0.40546257321512313</v>
      </c>
      <c r="Q126" s="106">
        <f t="shared" si="312"/>
        <v>0.6162966870134764</v>
      </c>
      <c r="R126" s="106">
        <f t="shared" si="312"/>
        <v>8.2947472137387575</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9"/>
      <c r="F127" s="93"/>
      <c r="G127" s="201"/>
      <c r="H127"/>
      <c r="I127"/>
      <c r="J127"/>
      <c r="K127" s="66"/>
      <c r="L127" s="29" t="s">
        <v>360</v>
      </c>
      <c r="M127" s="30">
        <f t="shared" ref="M127" si="315">AVERAGE($P126:$XX126)</f>
        <v>3.1055021579891187</v>
      </c>
      <c r="N127" s="71"/>
      <c r="O127" s="27" t="str">
        <f t="shared" ref="O127" si="316">"1 POND"</f>
        <v>1 POND</v>
      </c>
      <c r="P127" s="107">
        <f>IF(IFERROR(VLOOKUP(P122,'Tabela de Apoio'!$D:$E,2,FALSE),1)=1,"",P128)</f>
        <v>0.40546257321512313</v>
      </c>
      <c r="Q127" s="107">
        <f>IF(IFERROR(VLOOKUP(Q122,'Tabela de Apoio'!$D:$E,2,FALSE),1)=1,"",Q128)</f>
        <v>0.6162966870134764</v>
      </c>
      <c r="R127" s="107" t="str">
        <f>IF(IFERROR(VLOOKUP(R122,'Tabela de Apoio'!$D:$E,2,FALSE),1)=1,"",R128)</f>
        <v>DESCARTADO</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9"/>
      <c r="F128" s="93"/>
      <c r="G128" s="201"/>
      <c r="H128" s="134">
        <f t="shared" ref="H128" si="317">COUNT($P128:$XX128)</f>
        <v>2</v>
      </c>
      <c r="I128" s="132">
        <f t="shared" ref="I128" si="318">_xlfn.STDEV.P($P127:$XX128)/AVERAGE($P127:$XX128)</f>
        <v>0.20634421629923258</v>
      </c>
      <c r="J128" s="7">
        <f t="shared" ref="J128" si="319">IF(AND(H128&gt;2,
OR(L120="MÉDIA SANEADA",L120="MEDIANA SANEADA",
AND(L120="PREÇO ESTIMADO",NOT(AND(P122="Orçamento",COUNTA(P120:XX120)=COUNTIF(P122:XX122,"Orçamento")))))),
ROW(),0)</f>
        <v>0</v>
      </c>
      <c r="K128" s="66"/>
      <c r="L128" s="29" t="s">
        <v>361</v>
      </c>
      <c r="M128" s="30">
        <f t="shared" ref="M128" si="320">MEDIAN($P126:$XX126)</f>
        <v>0.6162966870134764</v>
      </c>
      <c r="N128" s="71"/>
      <c r="O128" s="27" t="str">
        <f t="shared" ref="O128" si="321">"1 RODADA"</f>
        <v>1 RODADA</v>
      </c>
      <c r="P128" s="107">
        <f t="shared" ref="P128:AI128" si="322">IF(P126="","",IF((_xlfn.STDEV.P($P125:$XX126)/AVERAGE($P125:$XX126))&lt;=25%,P126,IF(OR(P126&gt;(AVERAGE($P125:$XX126)+_xlfn.STDEV.P($P125:$XX126)),P126&lt;(AVERAGE($P125:$XX126)-_xlfn.STDEV.P($P125:$XX126))),"DESCARTADO",P126)))</f>
        <v>0.40546257321512313</v>
      </c>
      <c r="Q128" s="107">
        <f t="shared" si="322"/>
        <v>0.6162966870134764</v>
      </c>
      <c r="R128" s="107" t="str">
        <f t="shared" si="322"/>
        <v>DESCARTADO</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9"/>
      <c r="F129" s="93"/>
      <c r="G129" s="201"/>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f>IF(IFERROR(VLOOKUP(P122,'Tabela de Apoio'!$D:$E,2,FALSE),1)=1,"",P130)</f>
        <v>0.40546257321512313</v>
      </c>
      <c r="Q129" s="107">
        <f>IF(IFERROR(VLOOKUP(Q122,'Tabela de Apoio'!$D:$E,2,FALSE),1)=1,"",Q130)</f>
        <v>0.6162966870134764</v>
      </c>
      <c r="R129" s="107" t="str">
        <f>IF(IFERROR(VLOOKUP(R122,'Tabela de Apoio'!$D:$E,2,FALSE),1)=1,"",R130)</f>
        <v>DESCARTADO</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9"/>
      <c r="F130" s="93"/>
      <c r="G130" s="201"/>
      <c r="H130" s="134">
        <f t="shared" ref="H130" si="325">COUNT($P130:$XX130)</f>
        <v>2</v>
      </c>
      <c r="I130" s="132">
        <f t="shared" ref="I130" si="326">_xlfn.STDEV.P($P129:$XX130)/AVERAGE($P129:$XX130)</f>
        <v>0.20634421629923258</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0.6162966870134764</v>
      </c>
      <c r="N130" s="71"/>
      <c r="O130" s="27" t="str">
        <f t="shared" ref="O130" si="329">"2 RODADA"</f>
        <v>2 RODADA</v>
      </c>
      <c r="P130" s="107">
        <f t="shared" ref="P130:AI130" si="330">IF(P128="","",IF((_xlfn.STDEV.P($P127:$XX128)/AVERAGE($P127:$XX128))&lt;=25%,P128,IF(OR(P128&gt;(AVERAGE($P127:$XX128)+_xlfn.STDEV.P($P127:$XX128)),P128&lt;(AVERAGE($P127:$XX128)-_xlfn.STDEV.P($P127:$XX128))),"DESCARTADO",P128)))</f>
        <v>0.40546257321512313</v>
      </c>
      <c r="Q130" s="107">
        <f t="shared" si="330"/>
        <v>0.6162966870134764</v>
      </c>
      <c r="R130" s="107" t="str">
        <f t="shared" si="330"/>
        <v>DESCARTADO</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9"/>
      <c r="F131" s="93"/>
      <c r="G131" s="201"/>
      <c r="H131"/>
      <c r="I131"/>
      <c r="J131"/>
      <c r="K131" s="66"/>
      <c r="L131" s="29" t="s">
        <v>359</v>
      </c>
      <c r="M131" s="30">
        <f t="shared" ref="M131" si="331">HARMEAN($P125:$XX126)</f>
        <v>0.71267841550880806</v>
      </c>
      <c r="N131" s="71"/>
      <c r="O131" s="27" t="str">
        <f t="shared" ref="O131" si="332">"3 POND"</f>
        <v>3 POND</v>
      </c>
      <c r="P131" s="107">
        <f>IF(IFERROR(VLOOKUP(P122,'Tabela de Apoio'!$D:$E,2,FALSE),1)=1,"",P132)</f>
        <v>0.40546257321512313</v>
      </c>
      <c r="Q131" s="107">
        <f>IF(IFERROR(VLOOKUP(Q122,'Tabela de Apoio'!$D:$E,2,FALSE),1)=1,"",Q132)</f>
        <v>0.6162966870134764</v>
      </c>
      <c r="R131" s="107" t="str">
        <f>IF(IFERROR(VLOOKUP(R122,'Tabela de Apoio'!$D:$E,2,FALSE),1)=1,"",R132)</f>
        <v>DESCARTADO</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9"/>
      <c r="F132" s="93"/>
      <c r="G132" s="201"/>
      <c r="H132" s="134">
        <f t="shared" ref="H132" si="333">COUNT($P132:$XX132)</f>
        <v>2</v>
      </c>
      <c r="I132" s="132">
        <f t="shared" ref="I132" si="334">_xlfn.STDEV.P($P131:$XX132)/AVERAGE($P131:$XX132)</f>
        <v>0.20634421629923258</v>
      </c>
      <c r="J132" s="7">
        <f t="shared" ref="J132" si="335">IF(AND(H132&gt;2,
OR(L120="MÉDIA SANEADA",L120="MEDIANA SANEADA",
AND(L120="PREÇO ESTIMADO",NOT(AND(P122="Orçamento",COUNTA(P120:XX120)=COUNTIF(P122:XX122,"Orçamento")))))),
ROW(),0)</f>
        <v>0</v>
      </c>
      <c r="K132" s="66"/>
      <c r="L132" s="29" t="s">
        <v>41</v>
      </c>
      <c r="M132" s="30">
        <f t="shared" ref="M132" si="336">IFERROR(_xlfn.QUARTILE.EXC($P126:$XX126,1),"")</f>
        <v>0.40546257321512313</v>
      </c>
      <c r="N132" s="71"/>
      <c r="O132" s="27" t="str">
        <f t="shared" ref="O132" si="337">"3 RODADA"</f>
        <v>3 RODADA</v>
      </c>
      <c r="P132" s="107">
        <f t="shared" ref="P132:AI132" si="338">IF(P130="","",IF((_xlfn.STDEV.P($P129:$XX130)/AVERAGE($P129:$XX130))&lt;=25%,P130,IF(OR(P130&gt;(AVERAGE($P129:$XX130)+_xlfn.STDEV.P($P129:$XX130)),P130&lt;(AVERAGE($P129:$XX130)-_xlfn.STDEV.P($P129:$XX130))),"DESCARTADO",P130)))</f>
        <v>0.40546257321512313</v>
      </c>
      <c r="Q132" s="107">
        <f t="shared" si="338"/>
        <v>0.6162966870134764</v>
      </c>
      <c r="R132" s="107" t="str">
        <f t="shared" si="338"/>
        <v>DESCARTADO</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9"/>
      <c r="F133" s="93"/>
      <c r="G133" s="201"/>
      <c r="H133"/>
      <c r="I133"/>
      <c r="J133"/>
      <c r="K133" s="66"/>
      <c r="L133" s="29" t="s">
        <v>39</v>
      </c>
      <c r="M133" s="30">
        <f t="shared" ref="M133" si="339">IFERROR(_xlfn.QUARTILE.EXC($P126:$XX126,3),"")</f>
        <v>8.2947472137387575</v>
      </c>
      <c r="N133" s="71"/>
      <c r="O133" s="27" t="str">
        <f t="shared" ref="O133" si="340">"4 POND"</f>
        <v>4 POND</v>
      </c>
      <c r="P133" s="107">
        <f>IF(IFERROR(VLOOKUP(P122,'Tabela de Apoio'!$D:$E,2,FALSE),1)=1,"",P134)</f>
        <v>0.40546257321512313</v>
      </c>
      <c r="Q133" s="107">
        <f>IF(IFERROR(VLOOKUP(Q122,'Tabela de Apoio'!$D:$E,2,FALSE),1)=1,"",Q134)</f>
        <v>0.6162966870134764</v>
      </c>
      <c r="R133" s="107" t="str">
        <f>IF(IFERROR(VLOOKUP(R122,'Tabela de Apoio'!$D:$E,2,FALSE),1)=1,"",R134)</f>
        <v>DESCARTADO</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9"/>
      <c r="F134" s="93"/>
      <c r="G134" s="201"/>
      <c r="H134" s="134">
        <f t="shared" ref="H134" si="341">COUNT($P134:$XX134)</f>
        <v>2</v>
      </c>
      <c r="I134" s="132">
        <f t="shared" ref="I134" si="342">_xlfn.STDEV.P($P133:$XX134)/AVERAGE($P133:$XX134)</f>
        <v>0.20634421629923258</v>
      </c>
      <c r="J134" s="7">
        <f t="shared" ref="J134" si="343">IF(AND(H134&gt;2,
OR(L120="MÉDIA SANEADA",L120="MEDIANA SANEADA",
AND(L120="PREÇO ESTIMADO",NOT(AND(P122="Orçamento",COUNTA(P120:XX120)=COUNTIF(P122:XX122,"Orçamento")))))),
ROW(),0)</f>
        <v>0</v>
      </c>
      <c r="K134" s="66"/>
      <c r="L134" s="29" t="s">
        <v>42</v>
      </c>
      <c r="M134" s="30">
        <f t="shared" ref="M134" si="344">MIN($P126:$XX126)</f>
        <v>0.40546257321512313</v>
      </c>
      <c r="N134" s="71"/>
      <c r="O134" s="27" t="str">
        <f t="shared" ref="O134" si="345">"4 RODADA"</f>
        <v>4 RODADA</v>
      </c>
      <c r="P134" s="107">
        <f t="shared" ref="P134:AI134" si="346">IF(P132="","",IF((_xlfn.STDEV.P($P131:$XX132)/AVERAGE($P131:$XX132))&lt;=25%,P132,IF(OR(P132&gt;(AVERAGE($P131:$XX132)+_xlfn.STDEV.P($P131:$XX132)),P132&lt;(AVERAGE($P131:$XX132)-_xlfn.STDEV.P($P131:$XX132))),"DESCARTADO",P132)))</f>
        <v>0.40546257321512313</v>
      </c>
      <c r="Q134" s="107">
        <f t="shared" si="346"/>
        <v>0.6162966870134764</v>
      </c>
      <c r="R134" s="107" t="str">
        <f t="shared" si="346"/>
        <v>DESCARTADO</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9"/>
      <c r="F135" s="93"/>
      <c r="G135" s="201"/>
      <c r="H135"/>
      <c r="I135"/>
      <c r="J135"/>
      <c r="K135" s="66"/>
      <c r="L135" s="29" t="s">
        <v>40</v>
      </c>
      <c r="M135" s="30">
        <f t="shared" ref="M135" si="347">MAX($P126:$XX126)</f>
        <v>8.2947472137387575</v>
      </c>
      <c r="N135" s="71"/>
      <c r="O135" s="27" t="str">
        <f t="shared" ref="O135" si="348">"5 POND"</f>
        <v>5 POND</v>
      </c>
      <c r="P135" s="107">
        <f>IF(IFERROR(VLOOKUP(P122,'Tabela de Apoio'!$D:$E,2,FALSE),1)=1,"",P136)</f>
        <v>0.40546257321512313</v>
      </c>
      <c r="Q135" s="107">
        <f>IF(IFERROR(VLOOKUP(Q122,'Tabela de Apoio'!$D:$E,2,FALSE),1)=1,"",Q136)</f>
        <v>0.6162966870134764</v>
      </c>
      <c r="R135" s="107" t="str">
        <f>IF(IFERROR(VLOOKUP(R122,'Tabela de Apoio'!$D:$E,2,FALSE),1)=1,"",R136)</f>
        <v>DESCARTADO</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9"/>
      <c r="F136" s="93"/>
      <c r="G136" s="201"/>
      <c r="H136" s="134">
        <f t="shared" ref="H136" si="349">COUNT($P136:$XX136)</f>
        <v>2</v>
      </c>
      <c r="I136" s="132">
        <f t="shared" ref="I136" si="350">_xlfn.STDEV.P($P135:$XX136)/AVERAGE($P135:$XX136)</f>
        <v>0.20634421629923258</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0.40546257321512313</v>
      </c>
      <c r="Q136" s="107">
        <f t="shared" si="353"/>
        <v>0.6162966870134764</v>
      </c>
      <c r="R136" s="107" t="str">
        <f t="shared" si="353"/>
        <v>DESCARTADO</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9"/>
      <c r="F137" s="93"/>
      <c r="G137" s="201"/>
      <c r="H137"/>
      <c r="I137"/>
      <c r="J137"/>
      <c r="K137" s="66"/>
      <c r="L137" s="22"/>
      <c r="M137" s="22"/>
      <c r="N137" s="71"/>
      <c r="O137" s="27" t="str">
        <f t="shared" ref="O137" si="354">"6 POND"</f>
        <v>6 POND</v>
      </c>
      <c r="P137" s="107">
        <f>IF(IFERROR(VLOOKUP(P122,'Tabela de Apoio'!$D:$E,2,FALSE),1)=1,"",P138)</f>
        <v>0.40546257321512313</v>
      </c>
      <c r="Q137" s="107">
        <f>IF(IFERROR(VLOOKUP(Q122,'Tabela de Apoio'!$D:$E,2,FALSE),1)=1,"",Q138)</f>
        <v>0.6162966870134764</v>
      </c>
      <c r="R137" s="107" t="str">
        <f>IF(IFERROR(VLOOKUP(R122,'Tabela de Apoio'!$D:$E,2,FALSE),1)=1,"",R138)</f>
        <v>DESCARTADO</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9"/>
      <c r="F138" s="93"/>
      <c r="G138" s="201"/>
      <c r="H138" s="134">
        <f t="shared" ref="H138" si="355">COUNT($P138:$XX138)</f>
        <v>2</v>
      </c>
      <c r="I138" s="132">
        <f t="shared" ref="I138" si="356">_xlfn.STDEV.P($P137:$XX138)/AVERAGE($P137:$XX138)</f>
        <v>0.20634421629923258</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0.40546257321512313</v>
      </c>
      <c r="Q138" s="107">
        <f t="shared" si="359"/>
        <v>0.6162966870134764</v>
      </c>
      <c r="R138" s="107" t="str">
        <f t="shared" si="359"/>
        <v>DESCARTADO</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9"/>
      <c r="F139" s="136"/>
      <c r="G139" s="201"/>
      <c r="H139" s="204"/>
      <c r="I139" s="204"/>
      <c r="J139" s="205"/>
      <c r="K139" s="67"/>
      <c r="L139" s="1" t="s">
        <v>43</v>
      </c>
      <c r="M139" s="143">
        <f t="shared" ref="M139" si="360">IFERROR(ROUND(M120*M122,2),"")</f>
        <v>308.14999999999998</v>
      </c>
      <c r="O139" s="27" t="s">
        <v>363</v>
      </c>
      <c r="P139" s="107">
        <f t="shared" ref="P139:AI160" si="361">INDEX(P126:P138,MATCH(MAX($J126:$J138),$J126:$J138,0))</f>
        <v>0.40546257321512313</v>
      </c>
      <c r="Q139" s="107">
        <f t="shared" si="361"/>
        <v>0.6162966870134764</v>
      </c>
      <c r="R139" s="107">
        <f t="shared" si="361"/>
        <v>8.2947472137387575</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3" t="s">
        <v>10</v>
      </c>
      <c r="M141" s="185">
        <f t="shared" ref="M141" si="364">IF(OR(ISBLANK($O$8),ISBLANK($O$7),ISBLANK($H$8),ISBLANK($O$6),ISBLANK($O$5),ISBLANK($H$5)),"",IFERROR(IF(VLOOKUP(L141,L147:M156,2,FALSE)&lt;1,ROUND(VLOOKUP(L141,L147:M156,2,FALSE),4),ROUND(VLOOKUP(L141,L147:M156,2,FALSE),2)),""))</f>
        <v>2259.6799999999998</v>
      </c>
      <c r="N141" s="69"/>
      <c r="O141" s="27" t="s">
        <v>17</v>
      </c>
      <c r="P141" s="113">
        <v>941.67</v>
      </c>
      <c r="Q141" s="113">
        <v>2236.59</v>
      </c>
      <c r="R141" s="113">
        <v>4657.38</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7">
        <f t="shared" ref="E142" si="366">D141</f>
        <v>7</v>
      </c>
      <c r="F142" s="92"/>
      <c r="G142" s="189" t="s">
        <v>1</v>
      </c>
      <c r="H142" s="192" t="str">
        <f>INDEX('[1]BASE FORMAÇÃO'!C:C,B141+1)</f>
        <v>Software de Gestão</v>
      </c>
      <c r="I142" s="192"/>
      <c r="J142" s="193"/>
      <c r="K142" s="66"/>
      <c r="L142" s="184"/>
      <c r="M142" s="186"/>
      <c r="N142" s="70"/>
      <c r="O142" s="27" t="s">
        <v>13</v>
      </c>
      <c r="P142" s="122">
        <v>46021</v>
      </c>
      <c r="Q142" s="122">
        <v>46050</v>
      </c>
      <c r="R142" s="122">
        <v>46048</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8"/>
      <c r="F143" s="93"/>
      <c r="G143" s="190"/>
      <c r="H143" s="194"/>
      <c r="I143" s="194"/>
      <c r="J143" s="195"/>
      <c r="K143" s="64"/>
      <c r="L143" s="130" t="s">
        <v>44</v>
      </c>
      <c r="M143" s="131">
        <v>12</v>
      </c>
      <c r="N143" s="71"/>
      <c r="O143" s="27" t="s">
        <v>380</v>
      </c>
      <c r="P143" s="114" t="s">
        <v>12</v>
      </c>
      <c r="Q143" s="114" t="s">
        <v>12</v>
      </c>
      <c r="R143" s="114" t="s">
        <v>12</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1"/>
      <c r="H144" s="196"/>
      <c r="I144" s="196"/>
      <c r="J144" s="197"/>
      <c r="K144" s="64"/>
      <c r="L144" s="1" t="s">
        <v>2</v>
      </c>
      <c r="M144" s="182" t="s">
        <v>435</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8">
        <f t="shared" ref="E145" si="370">C141</f>
        <v>1</v>
      </c>
      <c r="F145" s="93"/>
      <c r="G145" s="200" t="s">
        <v>304</v>
      </c>
      <c r="H145" s="202"/>
      <c r="I145" s="203"/>
      <c r="J145" s="203"/>
      <c r="K145" s="67"/>
      <c r="L145" s="28" t="s">
        <v>303</v>
      </c>
      <c r="M145" s="133">
        <f t="shared" ref="M145" si="371">IFERROR(INDEX(I147:I159,MATCH(MAX(J147:J159),J147:J159,0)),"")</f>
        <v>0.58893820341185732</v>
      </c>
      <c r="N145" s="71"/>
      <c r="O145" s="27" t="s">
        <v>18</v>
      </c>
      <c r="P145" s="106">
        <f>IF(P141="","",
IF(OR(P143="Orçamento",P142="",MAX('Tabela de Apoio'!$A:$A)&lt;=P142),
P141,
(INDEX('Tabela de Apoio'!$B:$B,MATCH('MAPA DE PREÇOS'!$O$8,'Tabela de Apoio'!$A:$A,1))/INDEX('Tabela de Apoio'!$B:$B,MATCH('MAPA DE PREÇOS'!P142,'Tabela de Apoio'!$A:$A,1)-1))*P141))</f>
        <v>954.5298532987124</v>
      </c>
      <c r="Q145" s="106">
        <f>IF(Q141="","",
IF(OR(Q143="Orçamento",Q142="",MAX('Tabela de Apoio'!$A:$A)&lt;=Q142),
Q141,
(INDEX('Tabela de Apoio'!$B:$B,MATCH('MAPA DE PREÇOS'!$O$8,'Tabela de Apoio'!$A:$A,1))/INDEX('Tabela de Apoio'!$B:$B,MATCH('MAPA DE PREÇOS'!Q142,'Tabela de Apoio'!$A:$A,1)-1))*Q141))</f>
        <v>2259.6770609958548</v>
      </c>
      <c r="R145" s="106">
        <f>IF(R141="","",
IF(OR(R143="Orçamento",R142="",MAX('Tabela de Apoio'!$A:$A)&lt;=R142),
R141,
(INDEX('Tabela de Apoio'!$B:$B,MATCH('MAPA DE PREÇOS'!$O$8,'Tabela de Apoio'!$A:$A,1))/INDEX('Tabela de Apoio'!$B:$B,MATCH('MAPA DE PREÇOS'!R142,'Tabela de Apoio'!$A:$A,1)-1))*R141))</f>
        <v>4705.4555150210244</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9"/>
      <c r="F146" s="93"/>
      <c r="G146" s="201"/>
      <c r="H146"/>
      <c r="I146"/>
      <c r="J146"/>
      <c r="N146" s="71"/>
      <c r="O146" s="27" t="s">
        <v>375</v>
      </c>
      <c r="P146" s="107">
        <f>IF(IFERROR(VLOOKUP(P143,'Tabela de Apoio'!$D:$E,2,FALSE),1)=1,"",P147)</f>
        <v>954.5298532987124</v>
      </c>
      <c r="Q146" s="107">
        <f>IF(IFERROR(VLOOKUP(Q143,'Tabela de Apoio'!$D:$E,2,FALSE),1)=1,"",Q147)</f>
        <v>2259.6770609958548</v>
      </c>
      <c r="R146" s="107">
        <f>IF(IFERROR(VLOOKUP(R143,'Tabela de Apoio'!$D:$E,2,FALSE),1)=1,"",R147)</f>
        <v>4705.4555150210244</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9"/>
      <c r="F147" s="93"/>
      <c r="G147" s="201"/>
      <c r="H147" s="134">
        <f t="shared" ref="H147" si="375">COUNT($P147:$XX147)</f>
        <v>3</v>
      </c>
      <c r="I147" s="132">
        <f t="shared" ref="I147" si="376">_xlfn.STDEV.P($P146:$XX147)/AVERAGE($P146:$XX147)</f>
        <v>0.58893820341185732</v>
      </c>
      <c r="J147" s="7">
        <f>ROW()</f>
        <v>147</v>
      </c>
      <c r="K147" s="67"/>
      <c r="L147" s="29" t="s">
        <v>10</v>
      </c>
      <c r="M147" s="30">
        <f t="shared" ref="M147" si="377">IFERROR(
IF(COUNTA(P141:AI141)=COUNTIF(P143:XX143,"Orçamento"),MIN(M152,M149),
IF(M150&lt;&gt;"",M150,
IF(M151&lt;&gt;"",M151,
M149
))),"")</f>
        <v>2259.6770609958548</v>
      </c>
      <c r="N147" s="71"/>
      <c r="O147" s="27" t="s">
        <v>376</v>
      </c>
      <c r="P147" s="106">
        <f t="shared" ref="P147:AI147" si="378">IFERROR(IF(P145="",
            "",
            IF(COUNT($P145:$XX145)&lt;=4,
               P145,
               IF(OR(P145&gt;(QUARTILE($P145:$XX145,3)+(QUARTILE($P145:$XX145,3)-QUARTILE($P145:$XX145,1))),
                     P145&lt;(QUARTILE($P145:$XX145,1)-(QUARTILE($P145:$XX145,3)-QUARTILE($P145:$XX145,1)))
                  ),
               "DESCARTADO",P145)
             )
  ),P145)</f>
        <v>954.5298532987124</v>
      </c>
      <c r="Q147" s="106">
        <f t="shared" si="378"/>
        <v>2259.6770609958548</v>
      </c>
      <c r="R147" s="106">
        <f t="shared" si="378"/>
        <v>4705.4555150210244</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9"/>
      <c r="F148" s="93"/>
      <c r="G148" s="201"/>
      <c r="H148"/>
      <c r="I148"/>
      <c r="J148"/>
      <c r="K148" s="66"/>
      <c r="L148" s="29" t="s">
        <v>360</v>
      </c>
      <c r="M148" s="30">
        <f t="shared" ref="M148" si="381">AVERAGE($P147:$XX147)</f>
        <v>2639.8874764385305</v>
      </c>
      <c r="N148" s="71"/>
      <c r="O148" s="27" t="str">
        <f t="shared" ref="O148" si="382">"1 POND"</f>
        <v>1 POND</v>
      </c>
      <c r="P148" s="107" t="str">
        <f>IF(IFERROR(VLOOKUP(P143,'Tabela de Apoio'!$D:$E,2,FALSE),1)=1,"",P149)</f>
        <v>DESCARTADO</v>
      </c>
      <c r="Q148" s="107">
        <f>IF(IFERROR(VLOOKUP(Q143,'Tabela de Apoio'!$D:$E,2,FALSE),1)=1,"",Q149)</f>
        <v>2259.6770609958548</v>
      </c>
      <c r="R148" s="107" t="str">
        <f>IF(IFERROR(VLOOKUP(R143,'Tabela de Apoio'!$D:$E,2,FALSE),1)=1,"",R149)</f>
        <v>DESCARTADO</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9"/>
      <c r="F149" s="93"/>
      <c r="G149" s="201"/>
      <c r="H149" s="134">
        <f t="shared" ref="H149" si="383">COUNT($P149:$XX149)</f>
        <v>1</v>
      </c>
      <c r="I149" s="132">
        <f t="shared" ref="I149" si="384">_xlfn.STDEV.P($P148:$XX149)/AVERAGE($P148:$XX149)</f>
        <v>0</v>
      </c>
      <c r="J149" s="7">
        <f t="shared" ref="J149" si="385">IF(AND(H149&gt;2,
OR(L141="MÉDIA SANEADA",L141="MEDIANA SANEADA",
AND(L141="PREÇO ESTIMADO",NOT(AND(P143="Orçamento",COUNTA(P141:XX141)=COUNTIF(P143:XX143,"Orçamento")))))),
ROW(),0)</f>
        <v>0</v>
      </c>
      <c r="K149" s="66"/>
      <c r="L149" s="29" t="s">
        <v>361</v>
      </c>
      <c r="M149" s="30">
        <f t="shared" ref="M149" si="386">MEDIAN($P147:$XX147)</f>
        <v>2259.6770609958548</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DESCARTADO</v>
      </c>
      <c r="Q149" s="107">
        <f t="shared" si="388"/>
        <v>2259.6770609958548</v>
      </c>
      <c r="R149" s="107" t="str">
        <f t="shared" si="388"/>
        <v>DESCARTADO</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DESCARTADO</v>
      </c>
      <c r="Q150" s="107">
        <f>IF(IFERROR(VLOOKUP(Q143,'Tabela de Apoio'!$D:$E,2,FALSE),1)=1,"",Q151)</f>
        <v>2259.6770609958548</v>
      </c>
      <c r="R150" s="107" t="str">
        <f>IF(IFERROR(VLOOKUP(R143,'Tabela de Apoio'!$D:$E,2,FALSE),1)=1,"",R151)</f>
        <v>DESCARTADO</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9"/>
      <c r="F151" s="93"/>
      <c r="G151" s="201"/>
      <c r="H151" s="134">
        <f t="shared" ref="H151" si="391">COUNT($P151:$XX151)</f>
        <v>1</v>
      </c>
      <c r="I151" s="132">
        <f t="shared" ref="I151" si="392">_xlfn.STDEV.P($P150:$XX151)/AVERAGE($P150:$XX151)</f>
        <v>0</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2259.6770609958548</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DESCARTADO</v>
      </c>
      <c r="Q151" s="107">
        <f t="shared" si="396"/>
        <v>2259.6770609958548</v>
      </c>
      <c r="R151" s="107" t="str">
        <f t="shared" si="396"/>
        <v>DESCARTADO</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9"/>
      <c r="F152" s="93"/>
      <c r="G152" s="201"/>
      <c r="H152"/>
      <c r="I152"/>
      <c r="J152"/>
      <c r="K152" s="66"/>
      <c r="L152" s="29" t="s">
        <v>359</v>
      </c>
      <c r="M152" s="30">
        <f t="shared" ref="M152" si="397">HARMEAN($P146:$XX147)</f>
        <v>1761.9111194520353</v>
      </c>
      <c r="N152" s="71"/>
      <c r="O152" s="27" t="str">
        <f t="shared" ref="O152" si="398">"3 POND"</f>
        <v>3 POND</v>
      </c>
      <c r="P152" s="107" t="str">
        <f>IF(IFERROR(VLOOKUP(P143,'Tabela de Apoio'!$D:$E,2,FALSE),1)=1,"",P153)</f>
        <v>DESCARTADO</v>
      </c>
      <c r="Q152" s="107">
        <f>IF(IFERROR(VLOOKUP(Q143,'Tabela de Apoio'!$D:$E,2,FALSE),1)=1,"",Q153)</f>
        <v>2259.6770609958548</v>
      </c>
      <c r="R152" s="107" t="str">
        <f>IF(IFERROR(VLOOKUP(R143,'Tabela de Apoio'!$D:$E,2,FALSE),1)=1,"",R153)</f>
        <v>DESCARTADO</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9"/>
      <c r="F153" s="93"/>
      <c r="G153" s="201"/>
      <c r="H153" s="134">
        <f t="shared" ref="H153" si="399">COUNT($P153:$XX153)</f>
        <v>1</v>
      </c>
      <c r="I153" s="132">
        <f t="shared" ref="I153" si="400">_xlfn.STDEV.P($P152:$XX153)/AVERAGE($P152:$XX153)</f>
        <v>0</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954.5298532987124</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DESCARTADO</v>
      </c>
      <c r="Q153" s="107">
        <f t="shared" si="404"/>
        <v>2259.6770609958548</v>
      </c>
      <c r="R153" s="107" t="str">
        <f t="shared" si="404"/>
        <v>DESCARTADO</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9"/>
      <c r="F154" s="93"/>
      <c r="G154" s="201"/>
      <c r="H154"/>
      <c r="I154"/>
      <c r="J154"/>
      <c r="K154" s="66"/>
      <c r="L154" s="29" t="s">
        <v>39</v>
      </c>
      <c r="M154" s="30">
        <f t="shared" ref="M154" si="405">IFERROR(_xlfn.QUARTILE.EXC($P147:$XX147,3),"")</f>
        <v>4705.4555150210244</v>
      </c>
      <c r="N154" s="71"/>
      <c r="O154" s="27" t="str">
        <f t="shared" ref="O154" si="406">"4 POND"</f>
        <v>4 POND</v>
      </c>
      <c r="P154" s="107" t="str">
        <f>IF(IFERROR(VLOOKUP(P143,'Tabela de Apoio'!$D:$E,2,FALSE),1)=1,"",P155)</f>
        <v>DESCARTADO</v>
      </c>
      <c r="Q154" s="107">
        <f>IF(IFERROR(VLOOKUP(Q143,'Tabela de Apoio'!$D:$E,2,FALSE),1)=1,"",Q155)</f>
        <v>2259.6770609958548</v>
      </c>
      <c r="R154" s="107" t="str">
        <f>IF(IFERROR(VLOOKUP(R143,'Tabela de Apoio'!$D:$E,2,FALSE),1)=1,"",R155)</f>
        <v>DESCARTADO</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9"/>
      <c r="F155" s="93"/>
      <c r="G155" s="201"/>
      <c r="H155" s="134">
        <f t="shared" ref="H155" si="407">COUNT($P155:$XX155)</f>
        <v>1</v>
      </c>
      <c r="I155" s="132">
        <f t="shared" ref="I155" si="408">_xlfn.STDEV.P($P154:$XX155)/AVERAGE($P154:$XX155)</f>
        <v>0</v>
      </c>
      <c r="J155" s="7">
        <f t="shared" ref="J155" si="409">IF(AND(H155&gt;2,
OR(L141="MÉDIA SANEADA",L141="MEDIANA SANEADA",
AND(L141="PREÇO ESTIMADO",NOT(AND(P143="Orçamento",COUNTA(P141:XX141)=COUNTIF(P143:XX143,"Orçamento")))))),
ROW(),0)</f>
        <v>0</v>
      </c>
      <c r="K155" s="66"/>
      <c r="L155" s="29" t="s">
        <v>42</v>
      </c>
      <c r="M155" s="30">
        <f t="shared" ref="M155" si="410">MIN($P147:$XX147)</f>
        <v>954.5298532987124</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DESCARTADO</v>
      </c>
      <c r="Q155" s="107">
        <f t="shared" si="412"/>
        <v>2259.6770609958548</v>
      </c>
      <c r="R155" s="107" t="str">
        <f t="shared" si="412"/>
        <v>DESCARTADO</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9"/>
      <c r="F156" s="93"/>
      <c r="G156" s="201"/>
      <c r="H156"/>
      <c r="I156"/>
      <c r="J156"/>
      <c r="K156" s="66"/>
      <c r="L156" s="29" t="s">
        <v>40</v>
      </c>
      <c r="M156" s="30">
        <f t="shared" ref="M156" si="413">MAX($P147:$XX147)</f>
        <v>4705.4555150210244</v>
      </c>
      <c r="N156" s="71"/>
      <c r="O156" s="27" t="str">
        <f t="shared" ref="O156" si="414">"5 POND"</f>
        <v>5 POND</v>
      </c>
      <c r="P156" s="107" t="str">
        <f>IF(IFERROR(VLOOKUP(P143,'Tabela de Apoio'!$D:$E,2,FALSE),1)=1,"",P157)</f>
        <v>DESCARTADO</v>
      </c>
      <c r="Q156" s="107">
        <f>IF(IFERROR(VLOOKUP(Q143,'Tabela de Apoio'!$D:$E,2,FALSE),1)=1,"",Q157)</f>
        <v>2259.6770609958548</v>
      </c>
      <c r="R156" s="107" t="str">
        <f>IF(IFERROR(VLOOKUP(R143,'Tabela de Apoio'!$D:$E,2,FALSE),1)=1,"",R157)</f>
        <v>DESCARTADO</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9"/>
      <c r="F157" s="93"/>
      <c r="G157" s="201"/>
      <c r="H157" s="134">
        <f t="shared" ref="H157" si="415">COUNT($P157:$XX157)</f>
        <v>1</v>
      </c>
      <c r="I157" s="132">
        <f t="shared" ref="I157" si="416">_xlfn.STDEV.P($P156:$XX157)/AVERAGE($P156:$XX157)</f>
        <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DESCARTADO</v>
      </c>
      <c r="Q157" s="107">
        <f t="shared" si="419"/>
        <v>2259.6770609958548</v>
      </c>
      <c r="R157" s="107" t="str">
        <f t="shared" si="419"/>
        <v>DESCARTADO</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9"/>
      <c r="F158" s="93"/>
      <c r="G158" s="201"/>
      <c r="H158"/>
      <c r="I158"/>
      <c r="J158"/>
      <c r="K158" s="66"/>
      <c r="L158" s="22"/>
      <c r="M158" s="22"/>
      <c r="N158" s="71"/>
      <c r="O158" s="27" t="str">
        <f t="shared" ref="O158" si="420">"6 POND"</f>
        <v>6 POND</v>
      </c>
      <c r="P158" s="107" t="str">
        <f>IF(IFERROR(VLOOKUP(P143,'Tabela de Apoio'!$D:$E,2,FALSE),1)=1,"",P159)</f>
        <v>DESCARTADO</v>
      </c>
      <c r="Q158" s="107">
        <f>IF(IFERROR(VLOOKUP(Q143,'Tabela de Apoio'!$D:$E,2,FALSE),1)=1,"",Q159)</f>
        <v>2259.6770609958548</v>
      </c>
      <c r="R158" s="107" t="str">
        <f>IF(IFERROR(VLOOKUP(R143,'Tabela de Apoio'!$D:$E,2,FALSE),1)=1,"",R159)</f>
        <v>DESCARTADO</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9"/>
      <c r="F159" s="93"/>
      <c r="G159" s="201"/>
      <c r="H159" s="134">
        <f t="shared" ref="H159" si="421">COUNT($P159:$XX159)</f>
        <v>1</v>
      </c>
      <c r="I159" s="132">
        <f t="shared" ref="I159" si="422">_xlfn.STDEV.P($P158:$XX159)/AVERAGE($P158:$XX159)</f>
        <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DESCARTADO</v>
      </c>
      <c r="Q159" s="107">
        <f t="shared" si="425"/>
        <v>2259.6770609958548</v>
      </c>
      <c r="R159" s="107" t="str">
        <f t="shared" si="425"/>
        <v>DESCARTADO</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9"/>
      <c r="F160" s="136"/>
      <c r="G160" s="201"/>
      <c r="H160" s="204"/>
      <c r="I160" s="204"/>
      <c r="J160" s="205"/>
      <c r="K160" s="67"/>
      <c r="L160" s="1" t="s">
        <v>43</v>
      </c>
      <c r="M160" s="143">
        <f t="shared" ref="M160" si="426">IFERROR(ROUND(M141*M143,2),"")</f>
        <v>27116.16</v>
      </c>
      <c r="O160" s="27" t="s">
        <v>363</v>
      </c>
      <c r="P160" s="107">
        <f t="shared" ref="P160:R160" si="427">INDEX(P147:P159,MATCH(MAX($J147:$J159),$J147:$J159,0))</f>
        <v>954.5298532987124</v>
      </c>
      <c r="Q160" s="107">
        <f t="shared" si="427"/>
        <v>2259.6770609958548</v>
      </c>
      <c r="R160" s="107">
        <f t="shared" si="427"/>
        <v>4705.4555150210244</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2" t="e">
        <f>INDEX('BASE FORMAÇÃO'!C:C,B162+1)</f>
        <v>#VALUE!</v>
      </c>
      <c r="I163" s="192"/>
      <c r="J163" s="193"/>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4"/>
      <c r="I164" s="194"/>
      <c r="J164" s="195"/>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6"/>
      <c r="I165" s="196"/>
      <c r="J165" s="197"/>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8" t="e">
        <f t="shared" ref="E166" si="436">C162</f>
        <v>#VALUE!</v>
      </c>
      <c r="F166" s="93"/>
      <c r="G166" s="200" t="s">
        <v>304</v>
      </c>
      <c r="H166" s="202"/>
      <c r="I166" s="203"/>
      <c r="J166" s="203"/>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9"/>
      <c r="F168" s="93"/>
      <c r="G168" s="201"/>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9"/>
      <c r="F169" s="93"/>
      <c r="G169" s="201"/>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9"/>
      <c r="F170" s="93"/>
      <c r="G170" s="201"/>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9"/>
      <c r="F172" s="93"/>
      <c r="G172" s="201"/>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9"/>
      <c r="F173" s="93"/>
      <c r="G173" s="201"/>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9"/>
      <c r="F174" s="93"/>
      <c r="G174" s="201"/>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9"/>
      <c r="F176" s="93"/>
      <c r="G176" s="201"/>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9"/>
      <c r="F177" s="93"/>
      <c r="G177" s="201"/>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9"/>
      <c r="F178" s="93"/>
      <c r="G178" s="201"/>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9"/>
      <c r="F180" s="93"/>
      <c r="G180" s="201"/>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9"/>
      <c r="F181" s="136"/>
      <c r="G181" s="201"/>
      <c r="H181" s="204"/>
      <c r="I181" s="204"/>
      <c r="J181" s="205"/>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8" t="e">
        <f t="shared" ref="E187" si="502">C183</f>
        <v>#VALUE!</v>
      </c>
      <c r="F187" s="93"/>
      <c r="G187" s="200" t="s">
        <v>304</v>
      </c>
      <c r="H187" s="202"/>
      <c r="I187" s="203"/>
      <c r="J187" s="203"/>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9"/>
      <c r="F189" s="93"/>
      <c r="G189" s="201"/>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9"/>
      <c r="F190" s="93"/>
      <c r="G190" s="201"/>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9"/>
      <c r="F191" s="93"/>
      <c r="G191" s="201"/>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9"/>
      <c r="F192" s="93"/>
      <c r="G192" s="201"/>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9"/>
      <c r="F193" s="93"/>
      <c r="G193" s="201"/>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9"/>
      <c r="F194" s="93"/>
      <c r="G194" s="201"/>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9"/>
      <c r="F195" s="93"/>
      <c r="G195" s="201"/>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9"/>
      <c r="F197" s="93"/>
      <c r="G197" s="201"/>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9"/>
      <c r="F198" s="93"/>
      <c r="G198" s="201"/>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9"/>
      <c r="F199" s="93"/>
      <c r="G199" s="201"/>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9"/>
      <c r="F201" s="93"/>
      <c r="G201" s="201"/>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9"/>
      <c r="F202" s="136"/>
      <c r="G202" s="201"/>
      <c r="H202" s="204"/>
      <c r="I202" s="204"/>
      <c r="J202" s="205"/>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7:J7">
    <cfRule type="expression" dxfId="74" priority="96" stopIfTrue="1">
      <formula>ISERR($B7)</formula>
    </cfRule>
    <cfRule type="expression" dxfId="73" priority="97">
      <formula>AND($B$8, OR($G7="GMAT",$G7="DESCRIÇÃO",$L7="QUANTIDADE",$L7="UNIDADE"), OR(COLUMN(A7)=8,COLUMN(A7)=13,COLUMN(A7)&gt;15), NOT(AND($L7="PREÇO REFERÊNCIA",COLUMN(A7)=13)), NOT(AND($G7="GMAT",COLUMN(A7)=8)), NOT(AND($O7="OBS",COLUMN(A7)&gt;15)) )</formula>
    </cfRule>
  </conditionalFormatting>
  <conditionalFormatting sqref="A5:P5">
    <cfRule type="expression" dxfId="72" priority="94">
      <formula>AND($B$8, OR($G5="GMAT",$G5="DESCRIÇÃO",$L5="QUANTIDADE",$L5="UNIDADE"), OR(COLUMN(A5)=8,COLUMN(A5)=13,COLUMN(A5)&gt;15), NOT(AND($L5="PREÇO REFERÊNCIA",COLUMN(A5)=13)), NOT(AND($G5="GMAT",COLUMN(A5)=8)), NOT(AND($O5="OBS",COLUMN(A5)&gt;15)) )</formula>
    </cfRule>
    <cfRule type="expression" dxfId="71" priority="92" stopIfTrue="1">
      <formula>ISERR($B5)</formula>
    </cfRule>
  </conditionalFormatting>
  <conditionalFormatting sqref="A6:Q7">
    <cfRule type="containsText" dxfId="70" priority="95" operator="containsText" text="DESCARTADO">
      <formula>NOT(ISERROR(SEARCH("DESCARTADO",A6)))</formula>
    </cfRule>
  </conditionalFormatting>
  <conditionalFormatting sqref="A4:R5">
    <cfRule type="containsText" dxfId="69" priority="91" operator="containsText" text="DESCARTADO">
      <formula>NOT(ISERROR(SEARCH("DESCARTADO",A4)))</formula>
    </cfRule>
  </conditionalFormatting>
  <conditionalFormatting sqref="A1:XFD3 Y4:XFD9 A8:L8 O8 Q8:R8 A9:K9 Q9 A10:XFD14 A15:O15 A16:G16 K16:O17 F17:G18 A17:D34 K18:XFD18 F19:XFD34 A36:O36 A37:G37 K37:O38 F38:G39 A38:D55 K39:XFD39 F40:XFD55 A57:O57 A58:G58 K58:O59 F59:G60 A59:D76 K60:XFD60 F61:XFD76 A78:O78 A79:G79 K79:O80 F80:G81 A80:D97 K81:XFD81 F82:XFD97 A99:O99 A100:G100 K100:O101 F101:G102 A101:D118 K102:XFD102 F103:XFD118 A120:O120 A121:G121 K121:O122 F122:G123 A122:D139 K123:XFD123 F124:XFD139 A141:O141 A142:G142 K142:O143 F143:G144 A143:D160 K144:XFD144 F145: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68" priority="107" operator="containsText" text="DESCARTADO">
      <formula>NOT(ISERROR(SEARCH("DESCARTADO",A1)))</formula>
    </cfRule>
  </conditionalFormatting>
  <conditionalFormatting sqref="A1:XFD3 Y4:XFD9 A10:XFD14 S15:XFD17 K18:XFD18 F19:XFD34 S36:XFD38 K39:XFD39 F40:XFD55 S57:XFD59 K60:XFD60 F61:XFD76 S78:XFD80 K81:XFD81 F82:XFD97 S99:XFD101 K102:XFD102 F103:XFD118 S120:XFD122 K123:XFD123 F124:XFD139 S141:XFD143 K144:XFD144 F145: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4 Q5:R5 A6:Q6 K7:Q7 A8:L8 O8 Q8:Q9 A9:K9 A15:O15 A16:G16 K16:O17 F17:G18 A17:D34 A36:O36 A37:G37 K37:O38 F38:G39 A38:D55 A57:O57 A58:G58 K58:O59 F59:G60 A59:D76 A78:O78 A79:G79 K79:O80 F80:G81 A80:D97 A99:O99 A100:G100 K100:O101 F101:G102 A101:D118 A120:O120 A121:G121 K121:O122 F122:G123 A122:D139 A141:O141 A142:G142 K142:O143 F143:G144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67" priority="645">
      <formula>AND($B$8, OR($G1="GMAT",$G1="DESCRIÇÃO",$L1="QUANTIDADE",$L1="UNIDADE"), OR(COLUMN(A1)=8,COLUMN(A1)=13,COLUMN(A1)&gt;15), NOT(AND($L1="PREÇO REFERÊNCIA",COLUMN(A1)=13)), NOT(AND($G1="GMAT",COLUMN(A1)=8)), NOT(AND($O1="OBS",COLUMN(A1)&gt;15)) )</formula>
    </cfRule>
  </conditionalFormatting>
  <conditionalFormatting sqref="A1:XFD4 Q5:XFD5 A6:XFD6 K7:XFD7 A8:L8 O8 Q8:XFD9 A9:K9 A10:XFD14 A15:O15 K16:O17 A16:G18 K18:XFD18 A19:XFD35 A36:O36 K37:O38 A37:G39 K39:XFD39 A40:XFD56 A57:O57 K58:O59 A58:G60 K60:XFD60 A61:XFD77 A78:O78 K79:O80 A79:G81 K81:XFD81 A82:XFD98 A99:O99 K100:O101 A100:G102 K102:XFD102 A103:XFD119 A120:O120 K121:O122 A121:G123 K123:XFD123 A124:XFD140 A141:O141 K142:O143 A142:G144 K144:XFD144 A145:XFD1048576">
    <cfRule type="expression" dxfId="66" priority="146"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65" priority="665" operator="containsText" text="DESCARTADO">
      <formula>NOT(ISERROR(SEARCH("DESCARTADO",E18)))</formula>
    </cfRule>
    <cfRule type="expression" dxfId="64" priority="666" stopIfTrue="1">
      <formula>ISERR($B19)</formula>
    </cfRule>
  </conditionalFormatting>
  <conditionalFormatting sqref="H5">
    <cfRule type="expression" dxfId="63" priority="100">
      <formula>$B$8</formula>
    </cfRule>
  </conditionalFormatting>
  <conditionalFormatting sqref="H16:J18">
    <cfRule type="expression" dxfId="62" priority="90">
      <formula>AND($B$8, OR($G16="GMAT",$G16="DESCRIÇÃO",$L16="QUANTIDADE",$L16="UNIDADE"), OR(COLUMN(H16)=8,COLUMN(H16)=13,COLUMN(H16)&gt;15), NOT(AND($L16="PREÇO REFERÊNCIA",COLUMN(H16)=13)), NOT(AND($G16="GMAT",COLUMN(H16)=8)), NOT(AND($O16="OBS",COLUMN(H16)&gt;15)) )</formula>
    </cfRule>
    <cfRule type="expression" dxfId="61" priority="89" stopIfTrue="1">
      <formula>ISERR($B16)</formula>
    </cfRule>
    <cfRule type="containsText" dxfId="60" priority="88" operator="containsText" text="DESCARTADO">
      <formula>NOT(ISERROR(SEARCH("DESCARTADO",H16)))</formula>
    </cfRule>
  </conditionalFormatting>
  <conditionalFormatting sqref="H37:J39">
    <cfRule type="containsText" dxfId="59" priority="85" operator="containsText" text="DESCARTADO">
      <formula>NOT(ISERROR(SEARCH("DESCARTADO",H37)))</formula>
    </cfRule>
    <cfRule type="expression" dxfId="58" priority="87">
      <formula>AND($B$8, OR($G37="GMAT",$G37="DESCRIÇÃO",$L37="QUANTIDADE",$L37="UNIDADE"), OR(COLUMN(H37)=8,COLUMN(H37)=13,COLUMN(H37)&gt;15), NOT(AND($L37="PREÇO REFERÊNCIA",COLUMN(H37)=13)), NOT(AND($G37="GMAT",COLUMN(H37)=8)), NOT(AND($O37="OBS",COLUMN(H37)&gt;15)) )</formula>
    </cfRule>
    <cfRule type="expression" dxfId="57" priority="86" stopIfTrue="1">
      <formula>ISERR($B37)</formula>
    </cfRule>
  </conditionalFormatting>
  <conditionalFormatting sqref="H58:J60">
    <cfRule type="containsText" dxfId="56" priority="82" operator="containsText" text="DESCARTADO">
      <formula>NOT(ISERROR(SEARCH("DESCARTADO",H58)))</formula>
    </cfRule>
    <cfRule type="expression" dxfId="55" priority="84">
      <formula>AND($B$8, OR($G58="GMAT",$G58="DESCRIÇÃO",$L58="QUANTIDADE",$L58="UNIDADE"), OR(COLUMN(H58)=8,COLUMN(H58)=13,COLUMN(H58)&gt;15), NOT(AND($L58="PREÇO REFERÊNCIA",COLUMN(H58)=13)), NOT(AND($G58="GMAT",COLUMN(H58)=8)), NOT(AND($O58="OBS",COLUMN(H58)&gt;15)) )</formula>
    </cfRule>
    <cfRule type="expression" dxfId="54" priority="83" stopIfTrue="1">
      <formula>ISERR($B58)</formula>
    </cfRule>
  </conditionalFormatting>
  <conditionalFormatting sqref="H79:J81">
    <cfRule type="expression" dxfId="53" priority="81">
      <formula>AND($B$8, OR($G79="GMAT",$G79="DESCRIÇÃO",$L79="QUANTIDADE",$L79="UNIDADE"), OR(COLUMN(H79)=8,COLUMN(H79)=13,COLUMN(H79)&gt;15), NOT(AND($L79="PREÇO REFERÊNCIA",COLUMN(H79)=13)), NOT(AND($G79="GMAT",COLUMN(H79)=8)), NOT(AND($O79="OBS",COLUMN(H79)&gt;15)) )</formula>
    </cfRule>
    <cfRule type="expression" dxfId="52" priority="80" stopIfTrue="1">
      <formula>ISERR($B79)</formula>
    </cfRule>
    <cfRule type="containsText" dxfId="51" priority="79" operator="containsText" text="DESCARTADO">
      <formula>NOT(ISERROR(SEARCH("DESCARTADO",H79)))</formula>
    </cfRule>
  </conditionalFormatting>
  <conditionalFormatting sqref="H100:J102">
    <cfRule type="expression" dxfId="50" priority="78">
      <formula>AND($B$8, OR($G100="GMAT",$G100="DESCRIÇÃO",$L100="QUANTIDADE",$L100="UNIDADE"), OR(COLUMN(H100)=8,COLUMN(H100)=13,COLUMN(H100)&gt;15), NOT(AND($L100="PREÇO REFERÊNCIA",COLUMN(H100)=13)), NOT(AND($G100="GMAT",COLUMN(H100)=8)), NOT(AND($O100="OBS",COLUMN(H100)&gt;15)) )</formula>
    </cfRule>
    <cfRule type="containsText" dxfId="49" priority="76" operator="containsText" text="DESCARTADO">
      <formula>NOT(ISERROR(SEARCH("DESCARTADO",H100)))</formula>
    </cfRule>
    <cfRule type="expression" dxfId="48" priority="77" stopIfTrue="1">
      <formula>ISERR($B100)</formula>
    </cfRule>
  </conditionalFormatting>
  <conditionalFormatting sqref="H121:J123">
    <cfRule type="expression" dxfId="47" priority="75">
      <formula>AND($B$8, OR($G121="GMAT",$G121="DESCRIÇÃO",$L121="QUANTIDADE",$L121="UNIDADE"), OR(COLUMN(H121)=8,COLUMN(H121)=13,COLUMN(H121)&gt;15), NOT(AND($L121="PREÇO REFERÊNCIA",COLUMN(H121)=13)), NOT(AND($G121="GMAT",COLUMN(H121)=8)), NOT(AND($O121="OBS",COLUMN(H121)&gt;15)) )</formula>
    </cfRule>
    <cfRule type="expression" dxfId="46" priority="74" stopIfTrue="1">
      <formula>ISERR($B121)</formula>
    </cfRule>
    <cfRule type="containsText" dxfId="45" priority="73" operator="containsText" text="DESCARTADO">
      <formula>NOT(ISERROR(SEARCH("DESCARTADO",H121)))</formula>
    </cfRule>
  </conditionalFormatting>
  <conditionalFormatting sqref="H142:J144">
    <cfRule type="expression" dxfId="44" priority="72">
      <formula>AND($B$8, OR($G142="GMAT",$G142="DESCRIÇÃO",$L142="QUANTIDADE",$L142="UNIDADE"), OR(COLUMN(H142)=8,COLUMN(H142)=13,COLUMN(H142)&gt;15), NOT(AND($L142="PREÇO REFERÊNCIA",COLUMN(H142)=13)), NOT(AND($G142="GMAT",COLUMN(H142)=8)), NOT(AND($O142="OBS",COLUMN(H142)&gt;15)) )</formula>
    </cfRule>
    <cfRule type="expression" dxfId="43" priority="71" stopIfTrue="1">
      <formula>ISERR($B142)</formula>
    </cfRule>
    <cfRule type="containsText" dxfId="42" priority="70" operator="containsText" text="DESCARTADO">
      <formula>NOT(ISERROR(SEARCH("DESCARTADO",H142)))</formula>
    </cfRule>
  </conditionalFormatting>
  <conditionalFormatting sqref="O5:P5">
    <cfRule type="expression" dxfId="41" priority="93">
      <formula>$B$8</formula>
    </cfRule>
  </conditionalFormatting>
  <conditionalFormatting sqref="O6:P6 O7:O8 H8">
    <cfRule type="expression" dxfId="40" priority="555">
      <formula>$B$8</formula>
    </cfRule>
  </conditionalFormatting>
  <conditionalFormatting sqref="P15:R17">
    <cfRule type="expression" dxfId="39" priority="63">
      <formula>AND($B$8, OR($G15="GMAT",$G15="DESCRIÇÃO",$L15="QUANTIDADE",$L15="UNIDADE"), OR(COLUMN(P15)=8,COLUMN(P15)=13,COLUMN(P15)&gt;15), NOT(AND($L15="PREÇO REFERÊNCIA",COLUMN(P15)=13)), NOT(AND($G15="GMAT",COLUMN(P15)=8)), NOT(AND($O15="OBS",COLUMN(P15)&gt;15)) )</formula>
    </cfRule>
  </conditionalFormatting>
  <conditionalFormatting sqref="P36:R38">
    <cfRule type="expression" dxfId="38" priority="21">
      <formula>AND($B$8, OR($G36="GMAT",$G36="DESCRIÇÃO",$L36="QUANTIDADE",$L36="UNIDADE"), OR(COLUMN(P36)=8,COLUMN(P36)=13,COLUMN(P36)&gt;15), NOT(AND($L36="PREÇO REFERÊNCIA",COLUMN(P36)=13)), NOT(AND($G36="GMAT",COLUMN(P36)=8)), NOT(AND($O36="OBS",COLUMN(P36)&gt;15)) )</formula>
    </cfRule>
  </conditionalFormatting>
  <conditionalFormatting sqref="P57:R59">
    <cfRule type="expression" dxfId="37" priority="12">
      <formula>AND($B$8, OR($G57="GMAT",$G57="DESCRIÇÃO",$L57="QUANTIDADE",$L57="UNIDADE"), OR(COLUMN(P57)=8,COLUMN(P57)=13,COLUMN(P57)&gt;15), NOT(AND($L57="PREÇO REFERÊNCIA",COLUMN(P57)=13)), NOT(AND($G57="GMAT",COLUMN(P57)=8)), NOT(AND($O57="OBS",COLUMN(P57)&gt;15)) )</formula>
    </cfRule>
  </conditionalFormatting>
  <conditionalFormatting sqref="P78:R80">
    <cfRule type="expression" dxfId="36" priority="3">
      <formula>AND($B$8, OR($G78="GMAT",$G78="DESCRIÇÃO",$L78="QUANTIDADE",$L78="UNIDADE"), OR(COLUMN(P78)=8,COLUMN(P78)=13,COLUMN(P78)&gt;15), NOT(AND($L78="PREÇO REFERÊNCIA",COLUMN(P78)=13)), NOT(AND($G78="GMAT",COLUMN(P78)=8)), NOT(AND($O78="OBS",COLUMN(P78)&gt;15)) )</formula>
    </cfRule>
  </conditionalFormatting>
  <conditionalFormatting sqref="P99:R101">
    <cfRule type="expression" dxfId="35" priority="30">
      <formula>AND($B$8, OR($G99="GMAT",$G99="DESCRIÇÃO",$L99="QUANTIDADE",$L99="UNIDADE"), OR(COLUMN(P99)=8,COLUMN(P99)=13,COLUMN(P99)&gt;15), NOT(AND($L99="PREÇO REFERÊNCIA",COLUMN(P99)=13)), NOT(AND($G99="GMAT",COLUMN(P99)=8)), NOT(AND($O99="OBS",COLUMN(P99)&gt;15)) )</formula>
    </cfRule>
  </conditionalFormatting>
  <conditionalFormatting sqref="P120:R122">
    <cfRule type="expression" dxfId="34" priority="39">
      <formula>AND($B$8, OR($G120="GMAT",$G120="DESCRIÇÃO",$L120="QUANTIDADE",$L120="UNIDADE"), OR(COLUMN(P120)=8,COLUMN(P120)=13,COLUMN(P120)&gt;15), NOT(AND($L120="PREÇO REFERÊNCIA",COLUMN(P120)=13)), NOT(AND($G120="GMAT",COLUMN(P120)=8)), NOT(AND($O120="OBS",COLUMN(P120)&gt;15)) )</formula>
    </cfRule>
  </conditionalFormatting>
  <conditionalFormatting sqref="P141:R143">
    <cfRule type="expression" dxfId="33" priority="54">
      <formula>AND($B$8, OR($G141="GMAT",$G141="DESCRIÇÃO",$L141="QUANTIDADE",$L141="UNIDADE"), OR(COLUMN(P141)=8,COLUMN(P141)=13,COLUMN(P141)&gt;15), NOT(AND($L141="PREÇO REFERÊNCIA",COLUMN(P141)=13)), NOT(AND($G141="GMAT",COLUMN(P141)=8)), NOT(AND($O141="OBS",COLUMN(P141)&gt;15)) )</formula>
    </cfRule>
  </conditionalFormatting>
  <conditionalFormatting sqref="P15:XFD17">
    <cfRule type="expression" dxfId="32" priority="62" stopIfTrue="1">
      <formula>ISERR($B15)</formula>
    </cfRule>
    <cfRule type="containsText" dxfId="31" priority="61" operator="containsText" text="DESCARTADO">
      <formula>NOT(ISERROR(SEARCH("DESCARTADO",P15)))</formula>
    </cfRule>
  </conditionalFormatting>
  <conditionalFormatting sqref="P36:XFD38">
    <cfRule type="expression" dxfId="30" priority="20" stopIfTrue="1">
      <formula>ISERR($B36)</formula>
    </cfRule>
    <cfRule type="containsText" dxfId="29" priority="19" operator="containsText" text="DESCARTADO">
      <formula>NOT(ISERROR(SEARCH("DESCARTADO",P36)))</formula>
    </cfRule>
  </conditionalFormatting>
  <conditionalFormatting sqref="P57:XFD59">
    <cfRule type="expression" dxfId="28" priority="11" stopIfTrue="1">
      <formula>ISERR($B57)</formula>
    </cfRule>
    <cfRule type="containsText" dxfId="27" priority="10" operator="containsText" text="DESCARTADO">
      <formula>NOT(ISERROR(SEARCH("DESCARTADO",P57)))</formula>
    </cfRule>
  </conditionalFormatting>
  <conditionalFormatting sqref="P78:XFD80">
    <cfRule type="expression" dxfId="26" priority="2" stopIfTrue="1">
      <formula>ISERR($B78)</formula>
    </cfRule>
    <cfRule type="containsText" dxfId="25" priority="1" operator="containsText" text="DESCARTADO">
      <formula>NOT(ISERROR(SEARCH("DESCARTADO",P78)))</formula>
    </cfRule>
  </conditionalFormatting>
  <conditionalFormatting sqref="P99:XFD101">
    <cfRule type="expression" dxfId="24" priority="29" stopIfTrue="1">
      <formula>ISERR($B99)</formula>
    </cfRule>
    <cfRule type="containsText" dxfId="23" priority="28" operator="containsText" text="DESCARTADO">
      <formula>NOT(ISERROR(SEARCH("DESCARTADO",P99)))</formula>
    </cfRule>
  </conditionalFormatting>
  <conditionalFormatting sqref="P120:XFD122">
    <cfRule type="expression" dxfId="22" priority="38" stopIfTrue="1">
      <formula>ISERR($B120)</formula>
    </cfRule>
    <cfRule type="containsText" dxfId="21" priority="37" operator="containsText" text="DESCARTADO">
      <formula>NOT(ISERROR(SEARCH("DESCARTADO",P120)))</formula>
    </cfRule>
  </conditionalFormatting>
  <conditionalFormatting sqref="P141:XFD143">
    <cfRule type="containsText" dxfId="20" priority="52" operator="containsText" text="DESCARTADO">
      <formula>NOT(ISERROR(SEARCH("DESCARTADO",P141)))</formula>
    </cfRule>
    <cfRule type="expression" dxfId="19" priority="53" stopIfTrue="1">
      <formula>ISERR($B141)</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661">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352"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L13" sqref="L13"/>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42578125" style="146" customWidth="1"/>
    <col min="8" max="8" width="21.28515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DA SAÚDE (SMS)</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Mobilização Inicial</v>
      </c>
      <c r="H8" s="84" t="str">
        <f>IF($B7="","",IF($C8=$C5,INDEX('MAPA DE PREÇOS'!$M:$M,MATCH($B8,'MAPA DE PREÇOS'!$B:$B)-16),IF($C8=$C6,"Unidade","")))</f>
        <v>CAIXA</v>
      </c>
      <c r="I8" s="84">
        <f>IF($B7="","",IF($C8=$C5,INDEX('MAPA DE PREÇOS'!$M:$M,MATCH($B8,'MAPA DE PREÇOS'!$B:$B)-17),IF($C8=$C6,"Quant.","")))</f>
        <v>27000</v>
      </c>
      <c r="J8" s="60">
        <f>IF(AND(COUNTBLANK($B5:$B7)=2,$B7="",$B6="",MAX(C:C)&gt;1),"Total Estimado",IF($B7="","",IF($C8=$C5,INDEX('MAPA DE PREÇOS'!$M:$M,MATCH($B8,'MAPA DE PREÇOS'!$B:$B)-19),IF($C8=$C6,"Valor Unit. (R$)",IF(AND($C8&lt;&gt;$C7,$J7&lt;&gt;""),IF(MAX(C:C)=1,"Total Estimado","Subtotal"),"")))))</f>
        <v>0.76019999999999999</v>
      </c>
      <c r="K8" s="75">
        <f>IFERROR(IF(AND(COUNTBLANK($B5:$B7)=2,$B7="",$B6="",MAX($C:$C)&gt;1),SUM($K$3:K7)/2,IF($B7="","",IF($C8=$C5,ROUND(J8*I8,2),IF($C8=$C6,"Total Item (R$)",IF(AND($C8&lt;&gt;$C7,$J7&lt;&gt;""),SUMIFS(K:K,$C:$C,C7,J:J,"&lt;&gt;Subtotal"),""))))),"")</f>
        <v>20525.400000000001</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Tratamento Arquivístico Inicial</v>
      </c>
      <c r="H9" s="84" t="str">
        <f>IF($B8="","",IF($C9=$C6,INDEX('MAPA DE PREÇOS'!$M:$M,MATCH($B9,'MAPA DE PREÇOS'!$B:$B)-16),IF($C9=$C7,"Unidade","")))</f>
        <v>CAIXA</v>
      </c>
      <c r="I9" s="84">
        <f>IF($B8="","",IF($C9=$C6,INDEX('MAPA DE PREÇOS'!$M:$M,MATCH($B9,'MAPA DE PREÇOS'!$B:$B)-17),IF($C9=$C7,"Quant.","")))</f>
        <v>27000</v>
      </c>
      <c r="J9" s="60">
        <f>IF(AND(COUNTBLANK($B6:$B8)=2,$B8="",$B7="",MAX(C:C)&gt;1),"Total Estimado",IF($B8="","",IF($C9=$C6,INDEX('MAPA DE PREÇOS'!$M:$M,MATCH($B9,'MAPA DE PREÇOS'!$B:$B)-19),IF($C9=$C7,"Valor Unit. (R$)",IF(AND($C9&lt;&gt;$C8,$J8&lt;&gt;""),IF(MAX(C:C)=1,"Total Estimado","Subtotal"),"")))))</f>
        <v>6.23</v>
      </c>
      <c r="K9" s="75">
        <f>IFERROR(IF(AND(COUNTBLANK($B6:$B8)=2,$B8="",$B7="",MAX(C:C)&gt;1),SUM($K$3:K8)/2,IF($B8="","",IF($C9=$C6,ROUND(J9*I9,2),IF($C9=$C7,"Total Item (R$)",IF(AND($C9&lt;&gt;$C8,$J8&lt;&gt;""),SUMIFS(K:K,C:C,C8,J:J,"&lt;&gt;Subtotal"),""))))),"")</f>
        <v>168210</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Armazenagem física</v>
      </c>
      <c r="H10" s="84" t="str">
        <f>IF($B9="","",IF($C10=$C7,INDEX('MAPA DE PREÇOS'!$M:$M,MATCH($B10,'MAPA DE PREÇOS'!$B:$B)-16),IF($C10=$C8,"Unidade","")))</f>
        <v>CAIXA</v>
      </c>
      <c r="I10" s="84">
        <f>IF($B9="","",IF($C10=$C7,INDEX('MAPA DE PREÇOS'!$M:$M,MATCH($B10,'MAPA DE PREÇOS'!$B:$B)-17),IF($C10=$C8,"Quant.","")))</f>
        <v>324000</v>
      </c>
      <c r="J10" s="60">
        <f>IF(AND(COUNTBLANK($B7:$B9)=2,$B9="",$B8="",MAX(C:C)&gt;1),"Total Estimado",IF($B9="","",IF($C10=$C7,INDEX('MAPA DE PREÇOS'!$M:$M,MATCH($B10,'MAPA DE PREÇOS'!$B:$B)-19),IF($C10=$C8,"Valor Unit. (R$)",IF(AND($C10&lt;&gt;$C9,$J9&lt;&gt;""),IF(MAX(C:C)=1,"Total Estimado","Subtotal"),"")))))</f>
        <v>1.2</v>
      </c>
      <c r="K10" s="75">
        <f>IFERROR(IF(AND(COUNTBLANK($B7:$B9)=2,$B9="",$B8="",MAX(C:C)&gt;1),SUM($K$3:K9)/2,IF($B9="","",IF($C10=$C7,ROUND(J10*I10,2),IF($C10=$C8,"Total Item (R$)",IF(AND($C10&lt;&gt;$C9,$J9&lt;&gt;""),SUMIFS(K:K,C:C,C9,J:J,"&lt;&gt;Subtotal"),""))))),"")</f>
        <v>388800</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Novos Acervos</v>
      </c>
      <c r="H11" s="84" t="str">
        <f>IF($B10="","",IF($C11=$C8,INDEX('MAPA DE PREÇOS'!$M:$M,MATCH($B11,'MAPA DE PREÇOS'!$B:$B)-16),IF($C11=$C9,"Unidade","")))</f>
        <v>CAIXA</v>
      </c>
      <c r="I11" s="84">
        <f>IF($B10="","",IF($C11=$C8,INDEX('MAPA DE PREÇOS'!$M:$M,MATCH($B11,'MAPA DE PREÇOS'!$B:$B)-17),IF($C11=$C9,"Quant.","")))</f>
        <v>100</v>
      </c>
      <c r="J11" s="60">
        <f>IF(AND(COUNTBLANK($B8:$B10)=2,$B10="",$B9="",MAX(C:C)&gt;1),"Total Estimado",IF($B10="","",IF($C11=$C8,INDEX('MAPA DE PREÇOS'!$M:$M,MATCH($B11,'MAPA DE PREÇOS'!$B:$B)-19),IF($C11=$C9,"Valor Unit. (R$)",IF(AND($C11&lt;&gt;$C10,$J10&lt;&gt;""),IF(MAX(C:C)=1,"Total Estimado","Subtotal"),"")))))</f>
        <v>6.08</v>
      </c>
      <c r="K11" s="75">
        <f>IFERROR(IF(AND(COUNTBLANK($B8:$B10)=2,$B10="",$B9="",MAX(C:C)&gt;1),SUM($K$3:K10)/2,IF($B10="","",IF($C11=$C8,ROUND(J11*I11,2),IF($C11=$C9,"Total Item (R$)",IF(AND($C11&lt;&gt;$C10,$J10&lt;&gt;""),SUMIFS(K:K,C:C,C10,J:J,"&lt;&gt;Subtotal"),""))))),"")</f>
        <v>608</v>
      </c>
      <c r="L11" s="75" t="str">
        <f t="shared" si="1"/>
        <v/>
      </c>
    </row>
    <row r="12" spans="2:14" ht="30"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Pesquisa física e envio de documentos de forma física</v>
      </c>
      <c r="H12" s="84" t="str">
        <f>IF($B11="","",IF($C12=$C9,INDEX('MAPA DE PREÇOS'!$M:$M,MATCH($B12,'MAPA DE PREÇOS'!$B:$B)-16),IF($C12=$C10,"Unidade","")))</f>
        <v>PRONTUÁRIO</v>
      </c>
      <c r="I12" s="84">
        <f>IF($B11="","",IF($C12=$C9,INDEX('MAPA DE PREÇOS'!$M:$M,MATCH($B12,'MAPA DE PREÇOS'!$B:$B)-17),IF($C12=$C10,"Quant.","")))</f>
        <v>10</v>
      </c>
      <c r="J12" s="60">
        <f>IF(AND(COUNTBLANK($B9:$B11)=2,$B11="",$B10="",MAX(C:C)&gt;1),"Total Estimado",IF($B11="","",IF($C12=$C9,INDEX('MAPA DE PREÇOS'!$M:$M,MATCH($B12,'MAPA DE PREÇOS'!$B:$B)-19),IF($C12=$C10,"Valor Unit. (R$)",IF(AND($C12&lt;&gt;$C11,$J11&lt;&gt;""),IF(MAX(C:C)=1,"Total Estimado","Subtotal"),"")))))</f>
        <v>6.32</v>
      </c>
      <c r="K12" s="75">
        <f>IFERROR(IF(AND(COUNTBLANK($B9:$B11)=2,$B11="",$B10="",MAX(C:C)&gt;1),SUM($K$3:K11)/2,IF($B11="","",IF($C12=$C9,ROUND(J12*I12,2),IF($C12=$C10,"Total Item (R$)",IF(AND($C12&lt;&gt;$C11,$J11&lt;&gt;""),SUMIFS(K:K,C:C,C11,J:J,"&lt;&gt;Subtotal"),""))))),"")</f>
        <v>63.2</v>
      </c>
      <c r="L12" s="75" t="str">
        <f t="shared" si="1"/>
        <v/>
      </c>
    </row>
    <row r="13" spans="2:14" ht="30"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Pesquisa física e envio de documentos de forma digital</v>
      </c>
      <c r="H13" s="84" t="str">
        <f>IF($B12="","",IF($C13=$C10,INDEX('MAPA DE PREÇOS'!$M:$M,MATCH($B13,'MAPA DE PREÇOS'!$B:$B)-16),IF($C13=$C11,"Unidade","")))</f>
        <v>FOLHA</v>
      </c>
      <c r="I13" s="84">
        <f>IF($B12="","",IF($C13=$C10,INDEX('MAPA DE PREÇOS'!$M:$M,MATCH($B13,'MAPA DE PREÇOS'!$B:$B)-17),IF($C13=$C11,"Quant.","")))</f>
        <v>500</v>
      </c>
      <c r="J13" s="60">
        <f>IF(AND(COUNTBLANK($B10:$B12)=2,$B12="",$B11="",MAX(C:C)&gt;1),"Total Estimado",IF($B12="","",IF($C13=$C10,INDEX('MAPA DE PREÇOS'!$M:$M,MATCH($B13,'MAPA DE PREÇOS'!$B:$B)-19),IF($C13=$C11,"Valor Unit. (R$)",IF(AND($C13&lt;&gt;$C12,$J12&lt;&gt;""),IF(MAX(C:C)=1,"Total Estimado","Subtotal"),"")))))</f>
        <v>0.61629999999999996</v>
      </c>
      <c r="K13" s="75">
        <f>IFERROR(IF(AND(COUNTBLANK($B10:$B12)=2,$B12="",$B11="",MAX(C:C)&gt;1),SUM($K$3:K12)/2,IF($B12="","",IF($C13=$C10,ROUND(J13*I13,2),IF($C13=$C11,"Total Item (R$)",IF(AND($C13&lt;&gt;$C12,$J12&lt;&gt;""),SUMIFS(K:K,C:C,C12,J:J,"&lt;&gt;Subtotal"),""))))),"")</f>
        <v>308.14999999999998</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Software de Gestão</v>
      </c>
      <c r="H14" s="84" t="str">
        <f>IF($B13="","",IF($C14=$C11,INDEX('MAPA DE PREÇOS'!$M:$M,MATCH($B14,'MAPA DE PREÇOS'!$B:$B)-16),IF($C14=$C12,"Unidade","")))</f>
        <v>MÊS</v>
      </c>
      <c r="I14" s="84">
        <f>IF($B13="","",IF($C14=$C11,INDEX('MAPA DE PREÇOS'!$M:$M,MATCH($B14,'MAPA DE PREÇOS'!$B:$B)-17),IF($C14=$C12,"Quant.","")))</f>
        <v>12</v>
      </c>
      <c r="J14" s="60">
        <f>IF(AND(COUNTBLANK($B11:$B13)=2,$B13="",$B12="",MAX(C:C)&gt;1),"Total Estimado",IF($B13="","",IF($C14=$C11,INDEX('MAPA DE PREÇOS'!$M:$M,MATCH($B14,'MAPA DE PREÇOS'!$B:$B)-19),IF($C14=$C12,"Valor Unit. (R$)",IF(AND($C14&lt;&gt;$C13,$J13&lt;&gt;""),IF(MAX(C:C)=1,"Total Estimado","Subtotal"),"")))))</f>
        <v>2259.6799999999998</v>
      </c>
      <c r="K14" s="75">
        <f>IFERROR(IF(AND(COUNTBLANK($B11:$B13)=2,$B13="",$B12="",MAX(C:C)&gt;1),SUM($K$3:K13)/2,IF($B13="","",IF($C14=$C11,ROUND(J14*I14,2),IF($C14=$C12,"Total Item (R$)",IF(AND($C14&lt;&gt;$C13,$J13&lt;&gt;""),SUMIFS(K:K,C:C,C13,J:J,"&lt;&gt;Subtotal"),""))))),"")</f>
        <v>27116.16</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Total Estimado</v>
      </c>
      <c r="K15" s="75">
        <f>IFERROR(IF(AND(COUNTBLANK($B12:$B14)=2,$B14="",$B13="",MAX(C:C)&gt;1),SUM($K$3:K14)/2,IF($B14="","",IF($C15=$C12,ROUND(J15*I15,2),IF($C15=$C13,"Total Item (R$)",IF(AND($C15&lt;&gt;$C14,$J14&lt;&gt;""),SUMIFS(K:K,C:C,C14,J:J,"&lt;&gt;Subtotal"),""))))),"")</f>
        <v>605630.91</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DA SAÚDE (SMS)</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Mobilização Inicial</v>
      </c>
      <c r="H8" s="84" t="str">
        <f>IF($B7="","",IF($C8=$C5,INDEX('MAPA DE PREÇOS'!$M:$M,MATCH($B8,'MAPA DE PREÇOS'!$B:$B)-16),IF($C8=$C6,"Unidade","")))</f>
        <v>CAIXA</v>
      </c>
      <c r="I8" s="84">
        <f>IF($B7="","",IF($C8=$C5,INDEX('MAPA DE PREÇOS'!$M:$M,MATCH($B8,'MAPA DE PREÇOS'!$B:$B)-17),IF($C8=$C6,"Quant.","")))</f>
        <v>27000</v>
      </c>
      <c r="J8" s="60">
        <f>IF(J7="Total Mensal","Total Acumulado",IF($B7="","",IF($C8=$C5,INDEX('MAPA DE PREÇOS'!$M:$M,MATCH($B8,'MAPA DE PREÇOS'!$B:$B)-19),IF($C8=$C6,"Valor Unit. (R$)",IF(AND($C8&lt;&gt;$C7,$J7&lt;&gt;""),"Total Mensal","")))))</f>
        <v>0.76019999999999999</v>
      </c>
      <c r="K8" s="75">
        <f>IF(J8="","",IF(J8="Total Mensal","-",IF(J8="Total Acumulado",SUM(K$7:K7),I8*J8)))</f>
        <v>20525.400000000001</v>
      </c>
      <c r="L8" s="112">
        <f>IF(J8="","",IF(J8="Total Mensal","-",IF(J8="Total Acumulado",SUM(L$7:L7),K8/SUMIF(J:J,"Total Acumulado",K:K))))</f>
        <v>3.3890938624648467E-2</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Tratamento Arquivístico Inicial</v>
      </c>
      <c r="H9" s="84" t="str">
        <f>IF($B8="","",IF($C9=$C6,INDEX('MAPA DE PREÇOS'!$M:$M,MATCH($B9,'MAPA DE PREÇOS'!$B:$B)-16),IF($C9=$C7,"Unidade","")))</f>
        <v>CAIXA</v>
      </c>
      <c r="I9" s="84">
        <f>IF($B8="","",IF($C9=$C6,INDEX('MAPA DE PREÇOS'!$M:$M,MATCH($B9,'MAPA DE PREÇOS'!$B:$B)-17),IF($C9=$C7,"Quant.","")))</f>
        <v>27000</v>
      </c>
      <c r="J9" s="60">
        <f>IF(J8="Total Mensal","Total Acumulado",IF($B8="","",IF($C9=$C6,INDEX('MAPA DE PREÇOS'!$M:$M,MATCH($B9,'MAPA DE PREÇOS'!$B:$B)-19),IF($C9=$C7,"Valor Unit. (R$)",IF(AND($C9&lt;&gt;$C8,$J8&lt;&gt;""),"Total Mensal","")))))</f>
        <v>6.23</v>
      </c>
      <c r="K9" s="75">
        <f>IF(J9="","",IF(J9="Total Mensal","-",IF(J9="Total Acumulado",SUM(K$7:K8),I9*J9)))</f>
        <v>168210</v>
      </c>
      <c r="L9" s="112">
        <f>IF(J9="","",IF(J9="Total Mensal","-",IF(J9="Total Acumulado",SUM(L$7:L8),K9/SUMIF(J:J,"Total Acumulado",K:K))))</f>
        <v>0.27774341966792943</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Armazenagem física</v>
      </c>
      <c r="H10" s="84" t="str">
        <f>IF($B9="","",IF($C10=$C7,INDEX('MAPA DE PREÇOS'!$M:$M,MATCH($B10,'MAPA DE PREÇOS'!$B:$B)-16),IF($C10=$C8,"Unidade","")))</f>
        <v>CAIXA</v>
      </c>
      <c r="I10" s="84">
        <f>IF($B9="","",IF($C10=$C7,INDEX('MAPA DE PREÇOS'!$M:$M,MATCH($B10,'MAPA DE PREÇOS'!$B:$B)-17),IF($C10=$C8,"Quant.","")))</f>
        <v>324000</v>
      </c>
      <c r="J10" s="60">
        <f>IF(J9="Total Mensal","Total Acumulado",IF($B9="","",IF($C10=$C7,INDEX('MAPA DE PREÇOS'!$M:$M,MATCH($B10,'MAPA DE PREÇOS'!$B:$B)-19),IF($C10=$C8,"Valor Unit. (R$)",IF(AND($C10&lt;&gt;$C9,$J9&lt;&gt;""),"Total Mensal","")))))</f>
        <v>1.2</v>
      </c>
      <c r="K10" s="75">
        <f>IF(J10="","",IF(J10="Total Mensal","-",IF(J10="Total Acumulado",SUM(K$7:K9),I10*J10)))</f>
        <v>388800</v>
      </c>
      <c r="L10" s="112">
        <f>IF(J10="","",IF(J10="Total Mensal","-",IF(J10="Total Acumulado",SUM(L$7:L9),K10/SUMIF(J:J,"Total Acumulado",K:K))))</f>
        <v>0.64197515942506955</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Novos Acervos</v>
      </c>
      <c r="H11" s="84" t="str">
        <f>IF($B10="","",IF($C11=$C8,INDEX('MAPA DE PREÇOS'!$M:$M,MATCH($B11,'MAPA DE PREÇOS'!$B:$B)-16),IF($C11=$C9,"Unidade","")))</f>
        <v>CAIXA</v>
      </c>
      <c r="I11" s="84">
        <f>IF($B10="","",IF($C11=$C8,INDEX('MAPA DE PREÇOS'!$M:$M,MATCH($B11,'MAPA DE PREÇOS'!$B:$B)-17),IF($C11=$C9,"Quant.","")))</f>
        <v>100</v>
      </c>
      <c r="J11" s="60">
        <f>IF(J10="Total Mensal","Total Acumulado",IF($B10="","",IF($C11=$C8,INDEX('MAPA DE PREÇOS'!$M:$M,MATCH($B11,'MAPA DE PREÇOS'!$B:$B)-19),IF($C11=$C9,"Valor Unit. (R$)",IF(AND($C11&lt;&gt;$C10,$J10&lt;&gt;""),"Total Mensal","")))))</f>
        <v>6.08</v>
      </c>
      <c r="K11" s="75">
        <f>IF(J11="","",IF(J11="Total Mensal","-",IF(J11="Total Acumulado",SUM(K$7:K10),I11*J11)))</f>
        <v>608</v>
      </c>
      <c r="L11" s="112">
        <f>IF(J11="","",IF(J11="Total Mensal","-",IF(J11="Total Acumulado",SUM(L$7:L10),K11/SUMIF(J:J,"Total Acumulado",K:K))))</f>
        <v>1.0039117719404381E-3</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Pesquisa física e envio de documentos de forma física</v>
      </c>
      <c r="H12" s="84" t="str">
        <f>IF($B11="","",IF($C12=$C9,INDEX('MAPA DE PREÇOS'!$M:$M,MATCH($B12,'MAPA DE PREÇOS'!$B:$B)-16),IF($C12=$C10,"Unidade","")))</f>
        <v>PRONTUÁRIO</v>
      </c>
      <c r="I12" s="84">
        <f>IF($B11="","",IF($C12=$C9,INDEX('MAPA DE PREÇOS'!$M:$M,MATCH($B12,'MAPA DE PREÇOS'!$B:$B)-17),IF($C12=$C10,"Quant.","")))</f>
        <v>10</v>
      </c>
      <c r="J12" s="60">
        <f>IF(J11="Total Mensal","Total Acumulado",IF($B11="","",IF($C12=$C9,INDEX('MAPA DE PREÇOS'!$M:$M,MATCH($B12,'MAPA DE PREÇOS'!$B:$B)-19),IF($C12=$C10,"Valor Unit. (R$)",IF(AND($C12&lt;&gt;$C11,$J11&lt;&gt;""),"Total Mensal","")))))</f>
        <v>6.32</v>
      </c>
      <c r="K12" s="75">
        <f>IF(J12="","",IF(J12="Total Mensal","-",IF(J12="Total Acumulado",SUM(K$7:K11),I12*J12)))</f>
        <v>63.2</v>
      </c>
      <c r="L12" s="112">
        <f>IF(J12="","",IF(J12="Total Mensal","-",IF(J12="Total Acumulado",SUM(L$7:L11),K12/SUMIF(J:J,"Total Acumulado",K:K))))</f>
        <v>1.0435398682012448E-4</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Pesquisa física e envio de documentos de forma digital</v>
      </c>
      <c r="H13" s="84" t="str">
        <f>IF($B12="","",IF($C13=$C10,INDEX('MAPA DE PREÇOS'!$M:$M,MATCH($B13,'MAPA DE PREÇOS'!$B:$B)-16),IF($C13=$C11,"Unidade","")))</f>
        <v>FOLHA</v>
      </c>
      <c r="I13" s="84">
        <f>IF($B12="","",IF($C13=$C10,INDEX('MAPA DE PREÇOS'!$M:$M,MATCH($B13,'MAPA DE PREÇOS'!$B:$B)-17),IF($C13=$C11,"Quant.","")))</f>
        <v>500</v>
      </c>
      <c r="J13" s="60">
        <f>IF(J12="Total Mensal","Total Acumulado",IF($B12="","",IF($C13=$C10,INDEX('MAPA DE PREÇOS'!$M:$M,MATCH($B13,'MAPA DE PREÇOS'!$B:$B)-19),IF($C13=$C11,"Valor Unit. (R$)",IF(AND($C13&lt;&gt;$C12,$J12&lt;&gt;""),"Total Mensal","")))))</f>
        <v>0.61629999999999996</v>
      </c>
      <c r="K13" s="75">
        <f>IF(J13="","",IF(J13="Total Mensal","-",IF(J13="Total Acumulado",SUM(K$7:K12),I13*J13)))</f>
        <v>308.14999999999998</v>
      </c>
      <c r="L13" s="112">
        <f>IF(J13="","",IF(J13="Total Mensal","-",IF(J13="Total Acumulado",SUM(L$7:L12),K13/SUMIF(J:J,"Total Acumulado",K:K))))</f>
        <v>5.0880824428198345E-4</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Software de Gestão</v>
      </c>
      <c r="H14" s="84" t="str">
        <f>IF($B13="","",IF($C14=$C11,INDEX('MAPA DE PREÇOS'!$M:$M,MATCH($B14,'MAPA DE PREÇOS'!$B:$B)-16),IF($C14=$C12,"Unidade","")))</f>
        <v>MÊS</v>
      </c>
      <c r="I14" s="84">
        <f>IF($B13="","",IF($C14=$C11,INDEX('MAPA DE PREÇOS'!$M:$M,MATCH($B14,'MAPA DE PREÇOS'!$B:$B)-17),IF($C14=$C12,"Quant.","")))</f>
        <v>12</v>
      </c>
      <c r="J14" s="60">
        <f>IF(J13="Total Mensal","Total Acumulado",IF($B13="","",IF($C14=$C11,INDEX('MAPA DE PREÇOS'!$M:$M,MATCH($B14,'MAPA DE PREÇOS'!$B:$B)-19),IF($C14=$C12,"Valor Unit. (R$)",IF(AND($C14&lt;&gt;$C13,$J13&lt;&gt;""),"Total Mensal","")))))</f>
        <v>2259.6799999999998</v>
      </c>
      <c r="K14" s="75">
        <f>IF(J14="","",IF(J14="Total Mensal","-",IF(J14="Total Acumulado",SUM(K$7:K13),I14*J14)))</f>
        <v>27116.159999999996</v>
      </c>
      <c r="L14" s="112">
        <f>IF(J14="","",IF(J14="Total Mensal","-",IF(J14="Total Acumulado",SUM(L$7:L13),K14/SUMIF(J:J,"Total Acumulado",K:K))))</f>
        <v>4.4773408279309909E-2</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Total Mensal</v>
      </c>
      <c r="K15" s="75" t="str">
        <f>IF(J15="","",IF(J15="Total Mensal","-",IF(J15="Total Acumulado",SUM(K$7:K14),I15*J15)))</f>
        <v>-</v>
      </c>
      <c r="L15" s="112" t="str">
        <f>IF(J15="","",IF(J15="Total Mensal","-",IF(J15="Total Acumulado",SUM(L$7:L14),K15/SUMIF(J:J,"Total Acumulado",K:K))))</f>
        <v>-</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Total Acumulado</v>
      </c>
      <c r="K16" s="75">
        <f>IF(J16="","",IF(J16="Total Mensal","-",IF(J16="Total Acumulado",SUM(K$7:K15),I16*J16)))</f>
        <v>605630.91</v>
      </c>
      <c r="L16" s="112">
        <f>IF(J16="","",IF(J16="Total Mensal","-",IF(J16="Total Acumulado",SUM(L$7:L15),K16/SUMIF(J:J,"Total Acumulado",K:K))))</f>
        <v>0.99999999999999989</v>
      </c>
      <c r="M16" s="108"/>
      <c r="N16" s="112">
        <f>IF($J16="","",IF($J16="Total Mensal",SUM(O$7:O15)/VLOOKUP("Total Acumulado",$J:$K,2,FALSE),IF($J16="Total Acumulado",N15+L16+IF(L$7="% Item",-1,0),0%)))</f>
        <v>-1.1102230246251565E-16</v>
      </c>
      <c r="O16" s="109">
        <f>IF($J16="","",IF($J16="Total Mensal",SUM(O$7:O15),IF($J16="Total Acumulado",SUM(O$7:O14)+M16,IFERROR(N16*$K16,0))))</f>
        <v>0</v>
      </c>
      <c r="P16" s="112">
        <f>IF($J16="","",IF($J16="Total Mensal",SUM(Q$7:Q15)/VLOOKUP("Total Acumulado",$J:$K,2,FALSE),IF($J16="Total Acumulado",P15+N16+IF(N$7="% Item",-1,0),0%)))</f>
        <v>-1.1102230246251565E-16</v>
      </c>
      <c r="Q16" s="109">
        <f>IF($J16="","",IF($J16="Total Mensal",SUM(Q$7:Q15),IF($J16="Total Acumulado",SUM(Q$7:Q14)+O16,IFERROR(P16*$K16,0))))</f>
        <v>0</v>
      </c>
      <c r="R16" s="112">
        <f>IF($J16="","",IF($J16="Total Mensal",SUM(S$7:S15)/VLOOKUP("Total Acumulado",$J:$K,2,FALSE),IF($J16="Total Acumulado",R15+P16+IF(P$7="% Item",-1,0),0%)))</f>
        <v>-1.1102230246251565E-16</v>
      </c>
      <c r="S16" s="109">
        <f>IF($J16="","",IF($J16="Total Mensal",SUM(S$7:S15),IF($J16="Total Acumulado",SUM(S$7:S14)+Q16,IFERROR(R16*$K16,0))))</f>
        <v>0</v>
      </c>
      <c r="T16" s="112">
        <f>IF($J16="","",IF($J16="Total Mensal",SUM(U$7:U15)/VLOOKUP("Total Acumulado",$J:$K,2,FALSE),IF($J16="Total Acumulado",T15+R16+IF(R$7="% Item",-1,0),0%)))</f>
        <v>-1.1102230246251565E-16</v>
      </c>
      <c r="U16" s="109">
        <f>IF($J16="","",IF($J16="Total Mensal",SUM(U$7:U15),IF($J16="Total Acumulado",SUM(U$7:U14)+S16,IFERROR(T16*$K16,0))))</f>
        <v>0</v>
      </c>
      <c r="V16" s="112">
        <f>IF($J16="","",IF($J16="Total Mensal",SUM(W$7:W15)/VLOOKUP("Total Acumulado",$J:$K,2,FALSE),IF($J16="Total Acumulado",V15+T16+IF(T$7="% Item",-1,0),0%)))</f>
        <v>-1.1102230246251565E-16</v>
      </c>
      <c r="W16" s="109">
        <f>IF($J16="","",IF($J16="Total Mensal",SUM(W$7:W15),IF($J16="Total Acumulado",SUM(W$7:W14)+U16,IFERROR(V16*$K16,0))))</f>
        <v>0</v>
      </c>
      <c r="X16" s="112">
        <f>IF($J16="","",IF($J16="Total Mensal",SUM(Y$7:Y15)/VLOOKUP("Total Acumulado",$J:$K,2,FALSE),IF($J16="Total Acumulado",X15+V16+IF(V$7="% Item",-1,0),0%)))</f>
        <v>-1.1102230246251565E-16</v>
      </c>
      <c r="Y16" s="109">
        <f>IF($J16="","",IF($J16="Total Mensal",SUM(Y$7:Y15),IF($J16="Total Acumulado",SUM(Y$7:Y14)+W16,IFERROR(X16*$K16,0))))</f>
        <v>0</v>
      </c>
      <c r="Z16" s="112">
        <f>IF($J16="","",IF($J16="Total Mensal",SUM(AA$7:AA15)/VLOOKUP("Total Acumulado",$J:$K,2,FALSE),IF($J16="Total Acumulado",Z15+X16+IF(X$7="% Item",-1,0),0%)))</f>
        <v>-1.1102230246251565E-16</v>
      </c>
      <c r="AA16" s="109">
        <f>IF($J16="","",IF($J16="Total Mensal",SUM(AA$7:AA15),IF($J16="Total Acumulado",SUM(AA$7:AA14)+Y16,IFERROR(Z16*$K16,0))))</f>
        <v>0</v>
      </c>
      <c r="AB16" s="112">
        <f>IF($J16="","",IF($J16="Total Mensal",SUM(AC$7:AC15)/VLOOKUP("Total Acumulado",$J:$K,2,FALSE),IF($J16="Total Acumulado",AB15+Z16+IF(Z$7="% Item",-1,0),0%)))</f>
        <v>-1.1102230246251565E-16</v>
      </c>
      <c r="AC16" s="109">
        <f>IF($J16="","",IF($J16="Total Mensal",SUM(AC$7:AC15),IF($J16="Total Acumulado",SUM(AC$7:AC14)+AA16,IFERROR(AB16*$K16,0))))</f>
        <v>0</v>
      </c>
      <c r="AD16" s="112">
        <f>IF($J16="","",IF($J16="Total Mensal",SUM(AE$7:AE15)/VLOOKUP("Total Acumulado",$J:$K,2,FALSE),IF($J16="Total Acumulado",AD15+AB16+IF(AB$7="% Item",-1,0),0%)))</f>
        <v>-1.1102230246251565E-16</v>
      </c>
      <c r="AE16" s="109">
        <f>IF($J16="","",IF($J16="Total Mensal",SUM(AE$7:AE15),IF($J16="Total Acumulado",SUM(AE$7:AE14)+AC16,IFERROR(AD16*$K16,0))))</f>
        <v>0</v>
      </c>
      <c r="AF16" s="112">
        <f>IF($J16="","",IF($J16="Total Mensal",SUM(AG$7:AG15)/VLOOKUP("Total Acumulado",$J:$K,2,FALSE),IF($J16="Total Acumulado",AF15+AD16+IF(AD$7="% Item",-1,0),0%)))</f>
        <v>-1.1102230246251565E-16</v>
      </c>
      <c r="AG16" s="109">
        <f>IF($J16="","",IF($J16="Total Mensal",SUM(AG$7:AG15),IF($J16="Total Acumulado",SUM(AG$7:AG14)+AE16,IFERROR(AF16*$K16,0))))</f>
        <v>0</v>
      </c>
      <c r="AH16" s="112">
        <f>IF($J16="","",IF($J16="Total Mensal",SUM(AI$7:AI15)/VLOOKUP("Total Acumulado",$J:$K,2,FALSE),IF($J16="Total Acumulado",AH15+AF16+IF(AF$7="% Item",-1,0),0%)))</f>
        <v>-1.1102230246251565E-16</v>
      </c>
      <c r="AI16" s="109">
        <f>IF($J16="","",IF($J16="Total Mensal",SUM(AI$7:AI15),IF($J16="Total Acumulado",SUM(AI$7:AI14)+AG16,IFERROR(AH16*$K16,0))))</f>
        <v>0</v>
      </c>
      <c r="AJ16" s="112">
        <f>IF($J16="","",IF($J16="Total Mensal",SUM(AK$7:AK15)/VLOOKUP("Total Acumulado",$J:$K,2,FALSE),IF($J16="Total Acumulado",AJ15+AH16+IF(AH$7="% Item",-1,0),0%)))</f>
        <v>-1.1102230246251565E-16</v>
      </c>
      <c r="AK16" s="109">
        <f>IF($J16="","",IF($J16="Total Mensal",SUM(AK$7:AK15),IF($J16="Total Acumulado",SUM(AK$7:AK14)+AI16,IFERROR(AJ16*$K16,0))))</f>
        <v>0</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3.3890938624648467E-2</v>
      </c>
      <c r="D6" s="42">
        <f>IFERROR(IF(C6=C5,IF(D5="","",D5+0.000000001),C6),"")</f>
        <v>3.3890938624648467E-2</v>
      </c>
      <c r="E6" s="41">
        <f t="shared" ref="E6:E37" si="0">IFERROR(INDEX(B:B,MATCH(LARGE(D:D,ROW()-5),D:D,0)),"")</f>
        <v>3</v>
      </c>
      <c r="F6" s="41">
        <f>IFERROR(VLOOKUP($E6,'MAPA DE PREÇOS'!$B:$D,2,FALSE),"")</f>
        <v>1</v>
      </c>
      <c r="G6" s="41">
        <f>IFERROR(VLOOKUP($E6,'MAPA DE PREÇOS'!$B:$D,3,FALSE),"")</f>
        <v>3</v>
      </c>
      <c r="H6" s="41">
        <f t="array" ref="H6">IFERROR(IF(E6="","",INDEX('MAPA DE PREÇOS'!H:H,0+MATCH(ABC!E6,'MAPA DE PREÇOS'!B:B,0))),"")</f>
        <v>0</v>
      </c>
      <c r="I6" t="str">
        <f>IF(E6="","",INDEX('MAPA DE PREÇOS'!H:H,MATCH(ABC!E6,'MAPA DE PREÇOS'!B:B,0)+1))</f>
        <v>Armazenagem física</v>
      </c>
      <c r="J6" s="41" t="str">
        <f>IFERROR(IF(E6="","",INDEX('MAPA DE PREÇOS'!M:M,3+MATCH(ABC!E6,'MAPA DE PREÇOS'!B:B,0))),"")</f>
        <v>CAIXA</v>
      </c>
      <c r="K6" s="52">
        <f t="array" ref="K6">IFERROR(IF(E6="","",INDEX('MAPA DE PREÇOS'!M:M,2+MATCH(ABC!E6,'MAPA DE PREÇOS'!B:B,0))),"")</f>
        <v>324000</v>
      </c>
      <c r="L6" s="53">
        <f t="array" ref="L6">IFERROR(IF(AND(E5&lt;&gt;"",E6=""),"TOTAL ESTIMADO",INDEX('MAPA DE PREÇOS'!M:M,0+MATCH(ABC!E6,'MAPA DE PREÇOS'!B:B,0))),"")</f>
        <v>1.2</v>
      </c>
      <c r="M6" s="54">
        <f>IFERROR(IF(AND(E5&lt;&gt;"",E6=""),SUM($M$5:M5),INDEX('MAPA DE PREÇOS'!M:M,19+MATCH(ABC!E6,'MAPA DE PREÇOS'!B:B,0))),"")</f>
        <v>388800</v>
      </c>
      <c r="N6" s="90">
        <f t="shared" ref="N6:N37" si="1">IFERROR(VLOOKUP(E6,$B:$C,2),"")</f>
        <v>0.64197515942506955</v>
      </c>
      <c r="O6" s="90">
        <f>N6</f>
        <v>0.64197515942506955</v>
      </c>
      <c r="P6" s="54" t="str">
        <f>IF(O6="","",IF(OR(N6&gt;=$S$6,O6&lt;=$S$6),"A",IF(O6&lt;=SUM($S$6:$S$7),"B","C")))</f>
        <v>A</v>
      </c>
      <c r="R6" s="156" t="s">
        <v>310</v>
      </c>
      <c r="S6" s="157">
        <v>0.8</v>
      </c>
      <c r="T6" s="156">
        <f>COUNTIF($P$6:$P$107,$R6)</f>
        <v>1</v>
      </c>
      <c r="U6" s="158">
        <f>SUMIFS($M$6:$M$107,$P$6:$P$107,$R6)</f>
        <v>388800</v>
      </c>
    </row>
    <row r="7" spans="1:21" x14ac:dyDescent="0.25">
      <c r="B7" s="41">
        <v>2</v>
      </c>
      <c r="C7" s="42">
        <f>IFERROR(INDEX('MAPA DE PREÇOS'!M:M,MATCH(B7,'MAPA DE PREÇOS'!B:B,0)+19)/(SUMPRODUCT(EDITAL!I:I,EDITAL!J:J)),"")</f>
        <v>0.27774341966792943</v>
      </c>
      <c r="D7" s="42">
        <f t="shared" ref="D7:D70" si="2">IFERROR(IF(C7=C6,IF(D6="","",D6+0.000000001),C7),"")</f>
        <v>0.27774341966792943</v>
      </c>
      <c r="E7" s="41">
        <f t="shared" si="0"/>
        <v>2</v>
      </c>
      <c r="F7" s="41">
        <f>IFERROR(VLOOKUP($E7,'MAPA DE PREÇOS'!$B:$D,2,FALSE),"")</f>
        <v>1</v>
      </c>
      <c r="G7" s="41">
        <f>IFERROR(VLOOKUP($E7,'MAPA DE PREÇOS'!$B:$D,3,FALSE),"")</f>
        <v>2</v>
      </c>
      <c r="H7" s="41">
        <f t="array" ref="H7">IFERROR(IF(E7="","",INDEX('MAPA DE PREÇOS'!H:H,0+MATCH(ABC!E7,'MAPA DE PREÇOS'!B:B,0))),"")</f>
        <v>0</v>
      </c>
      <c r="I7" t="str">
        <f>IF(E7="","",INDEX('MAPA DE PREÇOS'!H:H,MATCH(ABC!E7,'MAPA DE PREÇOS'!B:B,0)+1))</f>
        <v>Tratamento Arquivístico Inicial</v>
      </c>
      <c r="J7" s="41" t="str">
        <f>IFERROR(IF(E7="","",INDEX('MAPA DE PREÇOS'!M:M,3+MATCH(ABC!E7,'MAPA DE PREÇOS'!B:B,0))),"")</f>
        <v>CAIXA</v>
      </c>
      <c r="K7" s="52">
        <f t="array" ref="K7">IFERROR(IF(E7="","",INDEX('MAPA DE PREÇOS'!M:M,2+MATCH(ABC!E7,'MAPA DE PREÇOS'!B:B,0))),"")</f>
        <v>27000</v>
      </c>
      <c r="L7" s="53">
        <f t="array" ref="L7">IFERROR(IF(AND(E6&lt;&gt;"",E7=""),"TOTAL ESTIMADO",INDEX('MAPA DE PREÇOS'!M:M,0+MATCH(ABC!E7,'MAPA DE PREÇOS'!B:B,0))),"")</f>
        <v>6.23</v>
      </c>
      <c r="M7" s="54">
        <f>IFERROR(IF(AND(E6&lt;&gt;"",E7=""),SUM($M$5:M6),INDEX('MAPA DE PREÇOS'!M:M,19+MATCH(ABC!E7,'MAPA DE PREÇOS'!B:B,0))),"")</f>
        <v>168210</v>
      </c>
      <c r="N7" s="90">
        <f t="shared" si="1"/>
        <v>0.27774341966792943</v>
      </c>
      <c r="O7" s="90">
        <f>IFERROR(N7+O6,"")</f>
        <v>0.91971857909299892</v>
      </c>
      <c r="P7" s="54" t="str">
        <f t="shared" ref="P7:P70" si="3">IF(O7="","",IF(OR(N7&gt;=$S$6,O7&lt;=$S$6),"A",IF(O7&lt;=SUM($S$6:$S$7),"B","C")))</f>
        <v>B</v>
      </c>
      <c r="R7" s="159" t="s">
        <v>311</v>
      </c>
      <c r="S7" s="160">
        <v>0.15</v>
      </c>
      <c r="T7" s="159">
        <f>COUNTIF($P$6:$P$107,$R7)</f>
        <v>1</v>
      </c>
      <c r="U7" s="161">
        <f>SUMIFS($M$6:$M$107,$P$6:$P$107,$R7)</f>
        <v>168210</v>
      </c>
    </row>
    <row r="8" spans="1:21" x14ac:dyDescent="0.25">
      <c r="B8" s="41">
        <v>3</v>
      </c>
      <c r="C8" s="42">
        <f>IFERROR(INDEX('MAPA DE PREÇOS'!M:M,MATCH(B8,'MAPA DE PREÇOS'!B:B,0)+19)/(SUMPRODUCT(EDITAL!I:I,EDITAL!J:J)),"")</f>
        <v>0.64197515942506955</v>
      </c>
      <c r="D8" s="42">
        <f t="shared" si="2"/>
        <v>0.64197515942506955</v>
      </c>
      <c r="E8" s="41">
        <f t="shared" si="0"/>
        <v>7</v>
      </c>
      <c r="F8" s="41">
        <f>IFERROR(VLOOKUP($E8,'MAPA DE PREÇOS'!$B:$D,2,FALSE),"")</f>
        <v>1</v>
      </c>
      <c r="G8" s="41">
        <f>IFERROR(VLOOKUP($E8,'MAPA DE PREÇOS'!$B:$D,3,FALSE),"")</f>
        <v>7</v>
      </c>
      <c r="H8" s="41">
        <f t="array" ref="H8">IFERROR(IF(E8="","",INDEX('MAPA DE PREÇOS'!H:H,0+MATCH(ABC!E8,'MAPA DE PREÇOS'!B:B,0))),"")</f>
        <v>0</v>
      </c>
      <c r="I8" t="str">
        <f>IF(E8="","",INDEX('MAPA DE PREÇOS'!H:H,MATCH(ABC!E8,'MAPA DE PREÇOS'!B:B,0)+1))</f>
        <v>Software de Gestão</v>
      </c>
      <c r="J8" s="41" t="str">
        <f>IFERROR(IF(E8="","",INDEX('MAPA DE PREÇOS'!M:M,3+MATCH(ABC!E8,'MAPA DE PREÇOS'!B:B,0))),"")</f>
        <v>MÊS</v>
      </c>
      <c r="K8" s="52">
        <f t="array" ref="K8">IFERROR(IF(E8="","",INDEX('MAPA DE PREÇOS'!M:M,2+MATCH(ABC!E8,'MAPA DE PREÇOS'!B:B,0))),"")</f>
        <v>12</v>
      </c>
      <c r="L8" s="53">
        <f t="array" ref="L8">IFERROR(IF(AND(E7&lt;&gt;"",E8=""),"TOTAL ESTIMADO",INDEX('MAPA DE PREÇOS'!M:M,0+MATCH(ABC!E8,'MAPA DE PREÇOS'!B:B,0))),"")</f>
        <v>2259.6799999999998</v>
      </c>
      <c r="M8" s="54">
        <f>IFERROR(IF(AND(E7&lt;&gt;"",E8=""),SUM($M$5:M7),INDEX('MAPA DE PREÇOS'!M:M,19+MATCH(ABC!E8,'MAPA DE PREÇOS'!B:B,0))),"")</f>
        <v>27116.16</v>
      </c>
      <c r="N8" s="90">
        <f t="shared" si="1"/>
        <v>4.4773408279309916E-2</v>
      </c>
      <c r="O8" s="90">
        <f t="shared" ref="O8:O71" si="4">IFERROR(N8+O7,"")</f>
        <v>0.96449198737230879</v>
      </c>
      <c r="P8" s="54" t="str">
        <f t="shared" si="3"/>
        <v>C</v>
      </c>
      <c r="R8" s="153" t="s">
        <v>312</v>
      </c>
      <c r="S8" s="154">
        <v>0.05</v>
      </c>
      <c r="T8" s="153">
        <f>COUNTIF($P$6:$P$107,$R8)</f>
        <v>5</v>
      </c>
      <c r="U8" s="155">
        <f>SUMIFS($M$6:$M$107,$P$6:$P$107,$R8)</f>
        <v>48620.909999999996</v>
      </c>
    </row>
    <row r="9" spans="1:21" x14ac:dyDescent="0.25">
      <c r="B9" s="41">
        <v>4</v>
      </c>
      <c r="C9" s="42">
        <f>IFERROR(INDEX('MAPA DE PREÇOS'!M:M,MATCH(B9,'MAPA DE PREÇOS'!B:B,0)+19)/(SUMPRODUCT(EDITAL!I:I,EDITAL!J:J)),"")</f>
        <v>1.0039117719404381E-3</v>
      </c>
      <c r="D9" s="42">
        <f t="shared" si="2"/>
        <v>1.0039117719404381E-3</v>
      </c>
      <c r="E9" s="41">
        <f t="shared" si="0"/>
        <v>1</v>
      </c>
      <c r="F9" s="41">
        <f>IFERROR(VLOOKUP($E9,'MAPA DE PREÇOS'!$B:$D,2,FALSE),"")</f>
        <v>1</v>
      </c>
      <c r="G9" s="41">
        <f>IFERROR(VLOOKUP($E9,'MAPA DE PREÇOS'!$B:$D,3,FALSE),"")</f>
        <v>1</v>
      </c>
      <c r="H9" s="41">
        <f t="array" ref="H9">IFERROR(IF(E9="","",INDEX('MAPA DE PREÇOS'!H:H,0+MATCH(ABC!E9,'MAPA DE PREÇOS'!B:B,0))),"")</f>
        <v>0</v>
      </c>
      <c r="I9" t="str">
        <f>IF(E9="","",INDEX('MAPA DE PREÇOS'!H:H,MATCH(ABC!E9,'MAPA DE PREÇOS'!B:B,0)+1))</f>
        <v>Mobilização Inicial</v>
      </c>
      <c r="J9" s="41" t="str">
        <f>IFERROR(IF(E9="","",INDEX('MAPA DE PREÇOS'!M:M,3+MATCH(ABC!E9,'MAPA DE PREÇOS'!B:B,0))),"")</f>
        <v>CAIXA</v>
      </c>
      <c r="K9" s="52">
        <f t="array" ref="K9">IFERROR(IF(E9="","",INDEX('MAPA DE PREÇOS'!M:M,2+MATCH(ABC!E9,'MAPA DE PREÇOS'!B:B,0))),"")</f>
        <v>27000</v>
      </c>
      <c r="L9" s="53">
        <f t="array" ref="L9">IFERROR(IF(AND(E8&lt;&gt;"",E9=""),"TOTAL ESTIMADO",INDEX('MAPA DE PREÇOS'!M:M,0+MATCH(ABC!E9,'MAPA DE PREÇOS'!B:B,0))),"")</f>
        <v>0.76019999999999999</v>
      </c>
      <c r="M9" s="54">
        <f>IFERROR(IF(AND(E8&lt;&gt;"",E9=""),SUM($M$5:M8),INDEX('MAPA DE PREÇOS'!M:M,19+MATCH(ABC!E9,'MAPA DE PREÇOS'!B:B,0))),"")</f>
        <v>20525.400000000001</v>
      </c>
      <c r="N9" s="90">
        <f t="shared" si="1"/>
        <v>3.3890938624648467E-2</v>
      </c>
      <c r="O9" s="90">
        <f t="shared" si="4"/>
        <v>0.99838292599695722</v>
      </c>
      <c r="P9" s="54" t="str">
        <f t="shared" si="3"/>
        <v>C</v>
      </c>
    </row>
    <row r="10" spans="1:21" x14ac:dyDescent="0.25">
      <c r="B10" s="41">
        <v>5</v>
      </c>
      <c r="C10" s="42">
        <f>IFERROR(INDEX('MAPA DE PREÇOS'!M:M,MATCH(B10,'MAPA DE PREÇOS'!B:B,0)+19)/(SUMPRODUCT(EDITAL!I:I,EDITAL!J:J)),"")</f>
        <v>1.0435398682012448E-4</v>
      </c>
      <c r="D10" s="42">
        <f t="shared" si="2"/>
        <v>1.0435398682012448E-4</v>
      </c>
      <c r="E10" s="41">
        <f t="shared" si="0"/>
        <v>4</v>
      </c>
      <c r="F10" s="41">
        <f>IFERROR(VLOOKUP($E10,'MAPA DE PREÇOS'!$B:$D,2,FALSE),"")</f>
        <v>1</v>
      </c>
      <c r="G10" s="41">
        <f>IFERROR(VLOOKUP($E10,'MAPA DE PREÇOS'!$B:$D,3,FALSE),"")</f>
        <v>4</v>
      </c>
      <c r="H10" s="41">
        <f t="array" ref="H10">IFERROR(IF(E10="","",INDEX('MAPA DE PREÇOS'!H:H,0+MATCH(ABC!E10,'MAPA DE PREÇOS'!B:B,0))),"")</f>
        <v>0</v>
      </c>
      <c r="I10" t="str">
        <f>IF(E10="","",INDEX('MAPA DE PREÇOS'!H:H,MATCH(ABC!E10,'MAPA DE PREÇOS'!B:B,0)+1))</f>
        <v>Novos Acervos</v>
      </c>
      <c r="J10" s="41" t="str">
        <f>IFERROR(IF(E10="","",INDEX('MAPA DE PREÇOS'!M:M,3+MATCH(ABC!E10,'MAPA DE PREÇOS'!B:B,0))),"")</f>
        <v>CAIXA</v>
      </c>
      <c r="K10" s="52">
        <f t="array" ref="K10">IFERROR(IF(E10="","",INDEX('MAPA DE PREÇOS'!M:M,2+MATCH(ABC!E10,'MAPA DE PREÇOS'!B:B,0))),"")</f>
        <v>100</v>
      </c>
      <c r="L10" s="53">
        <f t="array" ref="L10">IFERROR(IF(AND(E9&lt;&gt;"",E10=""),"TOTAL ESTIMADO",INDEX('MAPA DE PREÇOS'!M:M,0+MATCH(ABC!E10,'MAPA DE PREÇOS'!B:B,0))),"")</f>
        <v>6.08</v>
      </c>
      <c r="M10" s="54">
        <f>IFERROR(IF(AND(E9&lt;&gt;"",E10=""),SUM($M$5:M9),INDEX('MAPA DE PREÇOS'!M:M,19+MATCH(ABC!E10,'MAPA DE PREÇOS'!B:B,0))),"")</f>
        <v>608</v>
      </c>
      <c r="N10" s="90">
        <f t="shared" si="1"/>
        <v>1.0039117719404381E-3</v>
      </c>
      <c r="O10" s="90">
        <f t="shared" si="4"/>
        <v>0.9993868377688977</v>
      </c>
      <c r="P10" s="54" t="str">
        <f t="shared" si="3"/>
        <v>C</v>
      </c>
    </row>
    <row r="11" spans="1:21" x14ac:dyDescent="0.25">
      <c r="B11" s="41">
        <v>6</v>
      </c>
      <c r="C11" s="42">
        <f>IFERROR(INDEX('MAPA DE PREÇOS'!M:M,MATCH(B11,'MAPA DE PREÇOS'!B:B,0)+19)/(SUMPRODUCT(EDITAL!I:I,EDITAL!J:J)),"")</f>
        <v>5.0880824428198345E-4</v>
      </c>
      <c r="D11" s="42">
        <f t="shared" si="2"/>
        <v>5.0880824428198345E-4</v>
      </c>
      <c r="E11" s="41">
        <f t="shared" si="0"/>
        <v>6</v>
      </c>
      <c r="F11" s="41">
        <f>IFERROR(VLOOKUP($E11,'MAPA DE PREÇOS'!$B:$D,2,FALSE),"")</f>
        <v>1</v>
      </c>
      <c r="G11" s="41">
        <f>IFERROR(VLOOKUP($E11,'MAPA DE PREÇOS'!$B:$D,3,FALSE),"")</f>
        <v>6</v>
      </c>
      <c r="H11" s="41">
        <f t="array" ref="H11">IFERROR(IF(E11="","",INDEX('MAPA DE PREÇOS'!H:H,0+MATCH(ABC!E11,'MAPA DE PREÇOS'!B:B,0))),"")</f>
        <v>0</v>
      </c>
      <c r="I11" t="str">
        <f>IF(E11="","",INDEX('MAPA DE PREÇOS'!H:H,MATCH(ABC!E11,'MAPA DE PREÇOS'!B:B,0)+1))</f>
        <v>Pesquisa física e envio de documentos de forma digital</v>
      </c>
      <c r="J11" s="41" t="str">
        <f>IFERROR(IF(E11="","",INDEX('MAPA DE PREÇOS'!M:M,3+MATCH(ABC!E11,'MAPA DE PREÇOS'!B:B,0))),"")</f>
        <v>FOLHA</v>
      </c>
      <c r="K11" s="52">
        <f t="array" ref="K11">IFERROR(IF(E11="","",INDEX('MAPA DE PREÇOS'!M:M,2+MATCH(ABC!E11,'MAPA DE PREÇOS'!B:B,0))),"")</f>
        <v>500</v>
      </c>
      <c r="L11" s="53">
        <f t="array" ref="L11">IFERROR(IF(AND(E10&lt;&gt;"",E11=""),"TOTAL ESTIMADO",INDEX('MAPA DE PREÇOS'!M:M,0+MATCH(ABC!E11,'MAPA DE PREÇOS'!B:B,0))),"")</f>
        <v>0.61629999999999996</v>
      </c>
      <c r="M11" s="54">
        <f>IFERROR(IF(AND(E10&lt;&gt;"",E11=""),SUM($M$5:M10),INDEX('MAPA DE PREÇOS'!M:M,19+MATCH(ABC!E11,'MAPA DE PREÇOS'!B:B,0))),"")</f>
        <v>308.14999999999998</v>
      </c>
      <c r="N11" s="90">
        <f t="shared" si="1"/>
        <v>5.0880824428198345E-4</v>
      </c>
      <c r="O11" s="90">
        <f t="shared" si="4"/>
        <v>0.99989564601317971</v>
      </c>
      <c r="P11" s="54" t="str">
        <f t="shared" si="3"/>
        <v>C</v>
      </c>
    </row>
    <row r="12" spans="1:21" x14ac:dyDescent="0.25">
      <c r="B12" s="41">
        <v>7</v>
      </c>
      <c r="C12" s="42">
        <f>IFERROR(INDEX('MAPA DE PREÇOS'!M:M,MATCH(B12,'MAPA DE PREÇOS'!B:B,0)+19)/(SUMPRODUCT(EDITAL!I:I,EDITAL!J:J)),"")</f>
        <v>4.4773408279309916E-2</v>
      </c>
      <c r="D12" s="42">
        <f t="shared" si="2"/>
        <v>4.4773408279309916E-2</v>
      </c>
      <c r="E12" s="41">
        <f t="shared" si="0"/>
        <v>5</v>
      </c>
      <c r="F12" s="41">
        <f>IFERROR(VLOOKUP($E12,'MAPA DE PREÇOS'!$B:$D,2,FALSE),"")</f>
        <v>1</v>
      </c>
      <c r="G12" s="41">
        <f>IFERROR(VLOOKUP($E12,'MAPA DE PREÇOS'!$B:$D,3,FALSE),"")</f>
        <v>5</v>
      </c>
      <c r="H12" s="41">
        <f t="array" ref="H12">IFERROR(IF(E12="","",INDEX('MAPA DE PREÇOS'!H:H,0+MATCH(ABC!E12,'MAPA DE PREÇOS'!B:B,0))),"")</f>
        <v>0</v>
      </c>
      <c r="I12" t="str">
        <f>IF(E12="","",INDEX('MAPA DE PREÇOS'!H:H,MATCH(ABC!E12,'MAPA DE PREÇOS'!B:B,0)+1))</f>
        <v>Pesquisa física e envio de documentos de forma física</v>
      </c>
      <c r="J12" s="41" t="str">
        <f>IFERROR(IF(E12="","",INDEX('MAPA DE PREÇOS'!M:M,3+MATCH(ABC!E12,'MAPA DE PREÇOS'!B:B,0))),"")</f>
        <v>PRONTUÁRIO</v>
      </c>
      <c r="K12" s="52">
        <f t="array" ref="K12">IFERROR(IF(E12="","",INDEX('MAPA DE PREÇOS'!M:M,2+MATCH(ABC!E12,'MAPA DE PREÇOS'!B:B,0))),"")</f>
        <v>10</v>
      </c>
      <c r="L12" s="53">
        <f t="array" ref="L12">IFERROR(IF(AND(E11&lt;&gt;"",E12=""),"TOTAL ESTIMADO",INDEX('MAPA DE PREÇOS'!M:M,0+MATCH(ABC!E12,'MAPA DE PREÇOS'!B:B,0))),"")</f>
        <v>6.32</v>
      </c>
      <c r="M12" s="54">
        <f>IFERROR(IF(AND(E11&lt;&gt;"",E12=""),SUM($M$5:M11),INDEX('MAPA DE PREÇOS'!M:M,19+MATCH(ABC!E12,'MAPA DE PREÇOS'!B:B,0))),"")</f>
        <v>63.2</v>
      </c>
      <c r="N12" s="90">
        <f t="shared" si="1"/>
        <v>1.0435398682012448E-4</v>
      </c>
      <c r="O12" s="90">
        <f t="shared" si="4"/>
        <v>0.99999999999999978</v>
      </c>
      <c r="P12" s="54" t="str">
        <f t="shared" si="3"/>
        <v>C</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TOTAL ESTIMADO</v>
      </c>
      <c r="M13" s="54">
        <f>IFERROR(IF(AND(E12&lt;&gt;"",E13=""),SUM($M$5:M12),INDEX('MAPA DE PREÇOS'!M:M,19+MATCH(ABC!E13,'MAPA DE PREÇOS'!B:B,0))),"")</f>
        <v>605630.91</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B388" sqref="B388"/>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2026-06-03T18:11:42Z</dcterms:modified>
</cp:coreProperties>
</file>