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omments2.xml" ContentType="application/vnd.openxmlformats-officedocument.spreadsheetml.comment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3.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EstaPastaDeTrabalho"/>
  <mc:AlternateContent xmlns:mc="http://schemas.openxmlformats.org/markup-compatibility/2006">
    <mc:Choice Requires="x15">
      <x15ac:absPath xmlns:x15ac="http://schemas.microsoft.com/office/spreadsheetml/2010/11/ac" url="C:\Users\diegor.machado\Downloads\"/>
    </mc:Choice>
  </mc:AlternateContent>
  <bookViews>
    <workbookView xWindow="-120" yWindow="-120" windowWidth="29040" windowHeight="15720" tabRatio="802" activeTab="3"/>
  </bookViews>
  <sheets>
    <sheet name="Mão de Obra" sheetId="25" r:id="rId1"/>
    <sheet name="Mat Individual e Uniformes" sheetId="3" r:id="rId2"/>
    <sheet name="Apoio - Uniforme e EPIs" sheetId="26" state="hidden" r:id="rId3"/>
    <sheet name="Mat Coletivo e Equipamentos" sheetId="9" r:id="rId4"/>
    <sheet name="Apoio - Mat Coletivo e Equip" sheetId="27" state="hidden" r:id="rId5"/>
    <sheet name="Veículos" sheetId="6" r:id="rId6"/>
    <sheet name="Produtividade" sheetId="24" state="hidden" r:id="rId7"/>
    <sheet name="Proposta" sheetId="5" r:id="rId8"/>
    <sheet name="Apoio - Regime de Trabalho" sheetId="1" state="hidden" r:id="rId9"/>
    <sheet name="Apoio - Notas Explicativas" sheetId="8" r:id="rId10"/>
    <sheet name="Apoio - Posto" sheetId="18" state="hidden" r:id="rId11"/>
    <sheet name="Apoio - Dados" sheetId="16" state="hidden" r:id="rId12"/>
  </sheets>
  <externalReferences>
    <externalReference r:id="rId13"/>
    <externalReference r:id="rId14"/>
    <externalReference r:id="rId15"/>
  </externalReferences>
  <definedNames>
    <definedName name="_xlnm._FilterDatabase" localSheetId="10" hidden="1">'Apoio - Posto'!$A$1:$S$634</definedName>
    <definedName name="_xlnm.Print_Area" localSheetId="0">'Mão de Obra'!$B$16:$B$159</definedName>
    <definedName name="_xlnm.Print_Area" localSheetId="6">Produtividade!$B$16:$B$159</definedName>
    <definedName name="familias_equipamentos" localSheetId="9">'Apoio - Notas Explicativas'!#REF!</definedName>
    <definedName name="familias_equipamentos" localSheetId="0">'[1]Base Apoio - etapa 1'!#REF!</definedName>
    <definedName name="familias_equipamentos" localSheetId="6">'[1]Base Apoio - etapa 1'!#REF!</definedName>
    <definedName name="familias_equipamentos" localSheetId="5">'[2]Base Apoio - etapa 1'!#REF!</definedName>
    <definedName name="familias_equipamentos">'[1]Base Apoio - etapa 1'!#REF!</definedName>
    <definedName name="materiais">[1]Fontes!$F$3:$F$9</definedName>
    <definedName name="percentuais" localSheetId="9">[3]Fontes!$C$1:$C$3</definedName>
    <definedName name="percentuais" localSheetId="5">[2]Fontes!$C$1:$C$3</definedName>
    <definedName name="percentuais">[1]Fontes!$C$1:$C$3</definedName>
    <definedName name="Sim_não" localSheetId="9">[3]Fontes!$A$1:$A$2</definedName>
    <definedName name="Sim_não" localSheetId="5">[2]Fontes!$A$1:$A$2</definedName>
    <definedName name="Sim_não">[1]Fontes!$A$1:$A$2</definedName>
    <definedName name="tributaçao" localSheetId="9">'Apoio - Notas Explicativas'!#REF!</definedName>
    <definedName name="tributaçao" localSheetId="5">'[2]Base Apoio - etapa 1'!$F$20:$H$20</definedName>
    <definedName name="tributaçao">'[1]Base Apoio - etapa 1'!$F$20:$H$20</definedName>
    <definedName name="Tributação" localSheetId="9">#REF!</definedName>
    <definedName name="Tributação" localSheetId="0">#REF!</definedName>
    <definedName name="Tributação" localSheetId="6">#REF!</definedName>
    <definedName name="Tributação" localSheetId="5">#REF!</definedName>
    <definedName name="Tributação">#REF!</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09" i="24" l="1"/>
  <c r="G109" i="24"/>
  <c r="H109" i="24"/>
  <c r="I109" i="24"/>
  <c r="E109" i="24"/>
  <c r="E107" i="25"/>
  <c r="E145" i="25"/>
  <c r="F145" i="25"/>
  <c r="G145" i="25"/>
  <c r="H145" i="25"/>
  <c r="I145" i="25"/>
  <c r="J145" i="25"/>
  <c r="K145" i="25"/>
  <c r="L145" i="25"/>
  <c r="M145" i="25"/>
  <c r="N145" i="25"/>
  <c r="O145" i="25"/>
  <c r="P145" i="25"/>
  <c r="Q145" i="25"/>
  <c r="R145" i="25"/>
  <c r="S145" i="25"/>
  <c r="T145" i="25"/>
  <c r="U145" i="25"/>
  <c r="V145" i="25"/>
  <c r="W145" i="25"/>
  <c r="X145" i="25"/>
  <c r="H7" i="9"/>
  <c r="H8" i="9"/>
  <c r="E7" i="9"/>
  <c r="E8" i="9"/>
  <c r="E12" i="9"/>
  <c r="E13" i="9"/>
  <c r="E14" i="9"/>
  <c r="E15" i="9"/>
  <c r="E16" i="9"/>
  <c r="E17" i="9"/>
  <c r="E6" i="9"/>
  <c r="I9" i="9"/>
  <c r="I10" i="9"/>
  <c r="H12" i="9"/>
  <c r="H13" i="9"/>
  <c r="I13" i="9" s="1"/>
  <c r="H14" i="9"/>
  <c r="I14" i="9" s="1"/>
  <c r="H6" i="9"/>
  <c r="I12" i="9"/>
  <c r="I15" i="9"/>
  <c r="I16" i="9"/>
  <c r="I17" i="9"/>
  <c r="I18" i="9"/>
  <c r="I19" i="9"/>
  <c r="I20" i="9"/>
  <c r="I21" i="9"/>
  <c r="I22" i="9"/>
  <c r="I23" i="9"/>
  <c r="I24" i="9"/>
  <c r="I25" i="9"/>
  <c r="I26" i="9"/>
  <c r="I27" i="9"/>
  <c r="I28" i="9"/>
  <c r="I29" i="9"/>
  <c r="I30" i="9"/>
  <c r="I31" i="9"/>
  <c r="I32" i="9"/>
  <c r="I33" i="9"/>
  <c r="I34" i="9"/>
  <c r="I35" i="9"/>
  <c r="I36" i="9"/>
  <c r="I37" i="9"/>
  <c r="I38" i="9"/>
  <c r="I39" i="9"/>
  <c r="I40" i="9"/>
  <c r="I41" i="9"/>
  <c r="I42" i="9"/>
  <c r="I43" i="9"/>
  <c r="I44" i="9"/>
  <c r="I45" i="9"/>
  <c r="I46" i="9"/>
  <c r="I47" i="9"/>
  <c r="I48" i="9"/>
  <c r="I49" i="9"/>
  <c r="I50" i="9"/>
  <c r="I51" i="9"/>
  <c r="I52" i="9"/>
  <c r="I53" i="9"/>
  <c r="I54" i="9"/>
  <c r="I55" i="9"/>
  <c r="I56" i="9"/>
  <c r="I57" i="9"/>
  <c r="I58" i="9"/>
  <c r="I59" i="9"/>
  <c r="I60" i="9"/>
  <c r="I61" i="9"/>
  <c r="I62" i="9"/>
  <c r="I63" i="9"/>
  <c r="I64" i="9"/>
  <c r="I65" i="9"/>
  <c r="I66" i="9"/>
  <c r="I67" i="9"/>
  <c r="I68" i="9"/>
  <c r="I69" i="9"/>
  <c r="I70" i="9"/>
  <c r="I71" i="9"/>
  <c r="I72" i="9"/>
  <c r="I73" i="9"/>
  <c r="I74" i="9"/>
  <c r="I75" i="9"/>
  <c r="I76" i="9"/>
  <c r="I77" i="9"/>
  <c r="I78" i="9"/>
  <c r="I79" i="9"/>
  <c r="I80" i="9"/>
  <c r="I81" i="9"/>
  <c r="I82" i="9"/>
  <c r="I83" i="9"/>
  <c r="I84" i="9"/>
  <c r="I85" i="9"/>
  <c r="I86" i="9"/>
  <c r="I87" i="9"/>
  <c r="I88" i="9"/>
  <c r="I89" i="9"/>
  <c r="I90" i="9"/>
  <c r="I91" i="9"/>
  <c r="I92" i="9"/>
  <c r="I93" i="9"/>
  <c r="I94" i="9"/>
  <c r="I95" i="9"/>
  <c r="I96" i="9"/>
  <c r="I97" i="9"/>
  <c r="I98" i="9"/>
  <c r="I99" i="9"/>
  <c r="I100" i="9"/>
  <c r="I101" i="9"/>
  <c r="I102" i="9"/>
  <c r="I103" i="9"/>
  <c r="I104" i="9"/>
  <c r="I105" i="9"/>
  <c r="I106" i="9"/>
  <c r="I107" i="9"/>
  <c r="I108" i="9"/>
  <c r="I109" i="9"/>
  <c r="I110" i="9"/>
  <c r="I111" i="9"/>
  <c r="I112" i="9"/>
  <c r="I113" i="9"/>
  <c r="I114" i="9"/>
  <c r="I115" i="9"/>
  <c r="I116" i="9"/>
  <c r="I117" i="9"/>
  <c r="I118" i="9"/>
  <c r="I119" i="9"/>
  <c r="I120" i="9"/>
  <c r="I121" i="9"/>
  <c r="I122" i="9"/>
  <c r="I123" i="9"/>
  <c r="I124" i="9"/>
  <c r="I125" i="9"/>
  <c r="I126" i="9"/>
  <c r="I127" i="9"/>
  <c r="I128" i="9"/>
  <c r="I129" i="9"/>
  <c r="I130" i="9"/>
  <c r="I131" i="9"/>
  <c r="I132" i="9"/>
  <c r="I133" i="9"/>
  <c r="I134" i="9"/>
  <c r="I135" i="9"/>
  <c r="I136" i="9"/>
  <c r="I137" i="9"/>
  <c r="I138" i="9"/>
  <c r="I139" i="9"/>
  <c r="I140" i="9"/>
  <c r="I141" i="9"/>
  <c r="I142" i="9"/>
  <c r="I143" i="9"/>
  <c r="I144" i="9"/>
  <c r="I145" i="9"/>
  <c r="I146" i="9"/>
  <c r="I147" i="9"/>
  <c r="I148" i="9"/>
  <c r="I149" i="9"/>
  <c r="I150" i="9"/>
  <c r="I151" i="9"/>
  <c r="I152" i="9"/>
  <c r="I153" i="9"/>
  <c r="I154" i="9"/>
  <c r="I155" i="9"/>
  <c r="I156" i="9"/>
  <c r="I157" i="9"/>
  <c r="I158" i="9"/>
  <c r="I159" i="9"/>
  <c r="I160" i="9"/>
  <c r="I161" i="9"/>
  <c r="I162" i="9"/>
  <c r="I163" i="9"/>
  <c r="I164" i="9"/>
  <c r="I165" i="9"/>
  <c r="I166" i="9"/>
  <c r="I167" i="9"/>
  <c r="I168" i="9"/>
  <c r="I169" i="9"/>
  <c r="I170" i="9"/>
  <c r="I171" i="9"/>
  <c r="I172" i="9"/>
  <c r="I173" i="9"/>
  <c r="I174" i="9"/>
  <c r="I175" i="9"/>
  <c r="I176" i="9"/>
  <c r="I177" i="9"/>
  <c r="I178" i="9"/>
  <c r="I179" i="9"/>
  <c r="I180" i="9"/>
  <c r="I181" i="9"/>
  <c r="I182" i="9"/>
  <c r="I183" i="9"/>
  <c r="I184" i="9"/>
  <c r="I185" i="9"/>
  <c r="I186" i="9"/>
  <c r="I187" i="9"/>
  <c r="I188" i="9"/>
  <c r="I189" i="9"/>
  <c r="I190" i="9"/>
  <c r="I191" i="9"/>
  <c r="I192" i="9"/>
  <c r="I193" i="9"/>
  <c r="I194" i="9"/>
  <c r="I195" i="9"/>
  <c r="I196" i="9"/>
  <c r="I197" i="9"/>
  <c r="I198" i="9"/>
  <c r="I199" i="9"/>
  <c r="I200" i="9"/>
  <c r="I201" i="9"/>
  <c r="I202" i="9"/>
  <c r="I203" i="9"/>
  <c r="I204" i="9"/>
  <c r="I205" i="9"/>
  <c r="L17" i="18"/>
  <c r="F41" i="6"/>
  <c r="G41" i="6"/>
  <c r="H41" i="6"/>
  <c r="I41" i="6"/>
  <c r="E41" i="6"/>
  <c r="F166" i="25"/>
  <c r="I8" i="9" l="1"/>
  <c r="I7" i="9"/>
  <c r="I11" i="9"/>
  <c r="I6" i="9"/>
  <c r="G6" i="3"/>
  <c r="F28" i="25"/>
  <c r="F29" i="25" s="1"/>
  <c r="F10" i="1"/>
  <c r="G10" i="1"/>
  <c r="I10" i="1"/>
  <c r="J10" i="1" s="1"/>
  <c r="H12" i="1"/>
  <c r="I12" i="1"/>
  <c r="G12" i="1"/>
  <c r="E17" i="6"/>
  <c r="E22" i="25"/>
  <c r="F87" i="25"/>
  <c r="G87" i="25"/>
  <c r="H87" i="25"/>
  <c r="I87" i="25"/>
  <c r="J87" i="25"/>
  <c r="K87" i="25"/>
  <c r="L87" i="25"/>
  <c r="M87" i="25"/>
  <c r="N87" i="25"/>
  <c r="O87" i="25"/>
  <c r="P87" i="25"/>
  <c r="Q87" i="25"/>
  <c r="R87" i="25"/>
  <c r="S87" i="25"/>
  <c r="T87" i="25"/>
  <c r="U87" i="25"/>
  <c r="V87" i="25"/>
  <c r="W87" i="25"/>
  <c r="X87" i="25"/>
  <c r="E87" i="25"/>
  <c r="H10" i="1" l="1"/>
  <c r="J12" i="1"/>
  <c r="E28" i="25"/>
  <c r="D152" i="24" l="1"/>
  <c r="F152" i="25"/>
  <c r="G152" i="25"/>
  <c r="H152" i="25"/>
  <c r="I152" i="25"/>
  <c r="J152" i="25"/>
  <c r="K152" i="25"/>
  <c r="L152" i="25"/>
  <c r="M152" i="25"/>
  <c r="N152" i="25"/>
  <c r="O152" i="25"/>
  <c r="P152" i="25"/>
  <c r="Q152" i="25"/>
  <c r="R152" i="25"/>
  <c r="S152" i="25"/>
  <c r="T152" i="25"/>
  <c r="U152" i="25"/>
  <c r="V152" i="25"/>
  <c r="W152" i="25"/>
  <c r="X152" i="25"/>
  <c r="E166" i="25" l="1"/>
  <c r="H153" i="25"/>
  <c r="I153" i="25"/>
  <c r="H15" i="9" l="1"/>
  <c r="H16" i="9"/>
  <c r="H17" i="9"/>
  <c r="H18" i="9"/>
  <c r="H19" i="9"/>
  <c r="H20" i="9"/>
  <c r="H21" i="9"/>
  <c r="H22" i="9"/>
  <c r="H23" i="9"/>
  <c r="H24" i="9"/>
  <c r="H25" i="9"/>
  <c r="H26" i="9"/>
  <c r="H27" i="9"/>
  <c r="H28" i="9"/>
  <c r="H29" i="9"/>
  <c r="H30" i="9"/>
  <c r="H31" i="9"/>
  <c r="H32" i="9"/>
  <c r="H33" i="9"/>
  <c r="H34" i="9"/>
  <c r="H35" i="9"/>
  <c r="H36" i="9"/>
  <c r="H37" i="9"/>
  <c r="H38" i="9"/>
  <c r="H39" i="9"/>
  <c r="H40" i="9"/>
  <c r="H41" i="9"/>
  <c r="H42" i="9"/>
  <c r="H43" i="9"/>
  <c r="H44" i="9"/>
  <c r="H45" i="9"/>
  <c r="H46" i="9"/>
  <c r="H47" i="9"/>
  <c r="H48" i="9"/>
  <c r="H49" i="9"/>
  <c r="H50" i="9"/>
  <c r="H51" i="9"/>
  <c r="H52" i="9"/>
  <c r="H53" i="9"/>
  <c r="H54" i="9"/>
  <c r="H55" i="9"/>
  <c r="H56" i="9"/>
  <c r="H57" i="9"/>
  <c r="H58" i="9"/>
  <c r="H59" i="9"/>
  <c r="H60" i="9"/>
  <c r="H61" i="9"/>
  <c r="H62" i="9"/>
  <c r="H63" i="9"/>
  <c r="H64" i="9"/>
  <c r="H65" i="9"/>
  <c r="H66" i="9"/>
  <c r="H67" i="9"/>
  <c r="H68" i="9"/>
  <c r="H69" i="9"/>
  <c r="H70" i="9"/>
  <c r="H71" i="9"/>
  <c r="H72" i="9"/>
  <c r="H73" i="9"/>
  <c r="H74" i="9"/>
  <c r="H75" i="9"/>
  <c r="H76" i="9"/>
  <c r="H77" i="9"/>
  <c r="H78" i="9"/>
  <c r="H79" i="9"/>
  <c r="H80" i="9"/>
  <c r="H81" i="9"/>
  <c r="H82" i="9"/>
  <c r="H83" i="9"/>
  <c r="H84" i="9"/>
  <c r="H85" i="9"/>
  <c r="H86" i="9"/>
  <c r="H87" i="9"/>
  <c r="H88" i="9"/>
  <c r="H89" i="9"/>
  <c r="H90" i="9"/>
  <c r="H91" i="9"/>
  <c r="H92" i="9"/>
  <c r="H93" i="9"/>
  <c r="H94" i="9"/>
  <c r="H95" i="9"/>
  <c r="H96" i="9"/>
  <c r="H97" i="9"/>
  <c r="H98" i="9"/>
  <c r="H99" i="9"/>
  <c r="H100" i="9"/>
  <c r="H101" i="9"/>
  <c r="H102" i="9"/>
  <c r="H103" i="9"/>
  <c r="H104" i="9"/>
  <c r="H105" i="9"/>
  <c r="H106" i="9"/>
  <c r="H107" i="9"/>
  <c r="H108" i="9"/>
  <c r="H109" i="9"/>
  <c r="H110" i="9"/>
  <c r="H111" i="9"/>
  <c r="H112" i="9"/>
  <c r="H113" i="9"/>
  <c r="H114" i="9"/>
  <c r="H115" i="9"/>
  <c r="H116" i="9"/>
  <c r="H117" i="9"/>
  <c r="H118" i="9"/>
  <c r="H119" i="9"/>
  <c r="H120" i="9"/>
  <c r="H121" i="9"/>
  <c r="H122" i="9"/>
  <c r="H123" i="9"/>
  <c r="H124" i="9"/>
  <c r="H125" i="9"/>
  <c r="H126" i="9"/>
  <c r="H127" i="9"/>
  <c r="H128" i="9"/>
  <c r="H129" i="9"/>
  <c r="H130" i="9"/>
  <c r="H131" i="9"/>
  <c r="H132" i="9"/>
  <c r="H133" i="9"/>
  <c r="H134" i="9"/>
  <c r="H135" i="9"/>
  <c r="H136" i="9"/>
  <c r="H137" i="9"/>
  <c r="H138" i="9"/>
  <c r="H139" i="9"/>
  <c r="H140" i="9"/>
  <c r="H141" i="9"/>
  <c r="H142" i="9"/>
  <c r="H143" i="9"/>
  <c r="H144" i="9"/>
  <c r="H145" i="9"/>
  <c r="H146" i="9"/>
  <c r="H147" i="9"/>
  <c r="H148" i="9"/>
  <c r="H149" i="9"/>
  <c r="H150" i="9"/>
  <c r="H151" i="9"/>
  <c r="H152" i="9"/>
  <c r="H153" i="9"/>
  <c r="H154" i="9"/>
  <c r="H155" i="9"/>
  <c r="H156" i="9"/>
  <c r="H157" i="9"/>
  <c r="H158" i="9"/>
  <c r="H159" i="9"/>
  <c r="H160" i="9"/>
  <c r="H161" i="9"/>
  <c r="H162" i="9"/>
  <c r="H163" i="9"/>
  <c r="H164" i="9"/>
  <c r="H165" i="9"/>
  <c r="H166" i="9"/>
  <c r="H167" i="9"/>
  <c r="H168" i="9"/>
  <c r="H169" i="9"/>
  <c r="H170" i="9"/>
  <c r="H171" i="9"/>
  <c r="H172" i="9"/>
  <c r="H173" i="9"/>
  <c r="H174" i="9"/>
  <c r="H175" i="9"/>
  <c r="H176" i="9"/>
  <c r="H177" i="9"/>
  <c r="H178" i="9"/>
  <c r="H179" i="9"/>
  <c r="H180" i="9"/>
  <c r="H181" i="9"/>
  <c r="H182" i="9"/>
  <c r="H183" i="9"/>
  <c r="H184" i="9"/>
  <c r="H185" i="9"/>
  <c r="H186" i="9"/>
  <c r="H187" i="9"/>
  <c r="H188" i="9"/>
  <c r="H189" i="9"/>
  <c r="H190" i="9"/>
  <c r="H191" i="9"/>
  <c r="H192" i="9"/>
  <c r="H193" i="9"/>
  <c r="H194" i="9"/>
  <c r="H195" i="9"/>
  <c r="H196" i="9"/>
  <c r="H197" i="9"/>
  <c r="H198" i="9"/>
  <c r="H199" i="9"/>
  <c r="H200" i="9"/>
  <c r="H201" i="9"/>
  <c r="H202" i="9"/>
  <c r="H203" i="9"/>
  <c r="H204" i="9"/>
  <c r="H205" i="9"/>
  <c r="G7" i="3"/>
  <c r="G8" i="3"/>
  <c r="G9" i="3"/>
  <c r="G10" i="3"/>
  <c r="G11" i="3"/>
  <c r="G12" i="3"/>
  <c r="G13" i="3"/>
  <c r="G14" i="3"/>
  <c r="G15" i="3"/>
  <c r="G16" i="3"/>
  <c r="G17" i="3"/>
  <c r="G18" i="3"/>
  <c r="G19" i="3"/>
  <c r="G20" i="3"/>
  <c r="G21" i="3"/>
  <c r="G22" i="3"/>
  <c r="G23" i="3"/>
  <c r="G24" i="3"/>
  <c r="G25" i="3"/>
  <c r="G26" i="3"/>
  <c r="G27" i="3"/>
  <c r="G28" i="3"/>
  <c r="G29" i="3"/>
  <c r="G30" i="3"/>
  <c r="G31" i="3"/>
  <c r="F7" i="3"/>
  <c r="F8" i="3"/>
  <c r="F9" i="3"/>
  <c r="F10" i="3"/>
  <c r="F11" i="3"/>
  <c r="F12" i="3"/>
  <c r="F13" i="3"/>
  <c r="F14" i="3"/>
  <c r="F15" i="3"/>
  <c r="F16" i="3"/>
  <c r="F17" i="3"/>
  <c r="F18" i="3"/>
  <c r="F19" i="3"/>
  <c r="F20" i="3"/>
  <c r="F21" i="3"/>
  <c r="F22" i="3"/>
  <c r="F23" i="3"/>
  <c r="F24" i="3"/>
  <c r="F25" i="3"/>
  <c r="F26" i="3"/>
  <c r="F27" i="3"/>
  <c r="F28" i="3"/>
  <c r="F29" i="3"/>
  <c r="F30" i="3"/>
  <c r="F31" i="3"/>
  <c r="E6" i="3"/>
  <c r="F6" i="3"/>
  <c r="G12" i="9" l="1"/>
  <c r="G13" i="9"/>
  <c r="G14" i="9"/>
  <c r="G15" i="9"/>
  <c r="G16" i="9"/>
  <c r="G17" i="9"/>
  <c r="G18" i="9"/>
  <c r="G19" i="9"/>
  <c r="G20" i="9"/>
  <c r="G21" i="9"/>
  <c r="G22" i="9"/>
  <c r="G23" i="9"/>
  <c r="G24" i="9"/>
  <c r="G25" i="9"/>
  <c r="G26" i="9"/>
  <c r="G27" i="9"/>
  <c r="G28" i="9"/>
  <c r="G29" i="9"/>
  <c r="G30" i="9"/>
  <c r="G31" i="9"/>
  <c r="G32" i="9"/>
  <c r="G33" i="9"/>
  <c r="G34" i="9"/>
  <c r="G35" i="9"/>
  <c r="G36" i="9"/>
  <c r="G37" i="9"/>
  <c r="G38" i="9"/>
  <c r="G39" i="9"/>
  <c r="G40" i="9"/>
  <c r="G41" i="9"/>
  <c r="G42" i="9"/>
  <c r="G43" i="9"/>
  <c r="G44" i="9"/>
  <c r="G45" i="9"/>
  <c r="G46" i="9"/>
  <c r="G47" i="9"/>
  <c r="G48" i="9"/>
  <c r="G49" i="9"/>
  <c r="G50" i="9"/>
  <c r="G51" i="9"/>
  <c r="G52" i="9"/>
  <c r="G53" i="9"/>
  <c r="G54" i="9"/>
  <c r="G55" i="9"/>
  <c r="G56" i="9"/>
  <c r="G57" i="9"/>
  <c r="G58" i="9"/>
  <c r="G59" i="9"/>
  <c r="G60" i="9"/>
  <c r="G61" i="9"/>
  <c r="G62" i="9"/>
  <c r="G63" i="9"/>
  <c r="G64" i="9"/>
  <c r="G65" i="9"/>
  <c r="G66" i="9"/>
  <c r="G67" i="9"/>
  <c r="G68" i="9"/>
  <c r="G69" i="9"/>
  <c r="G70" i="9"/>
  <c r="G71" i="9"/>
  <c r="G72" i="9"/>
  <c r="G73" i="9"/>
  <c r="G74" i="9"/>
  <c r="G75" i="9"/>
  <c r="G76" i="9"/>
  <c r="G77" i="9"/>
  <c r="G78" i="9"/>
  <c r="G79" i="9"/>
  <c r="G80" i="9"/>
  <c r="G81" i="9"/>
  <c r="G82" i="9"/>
  <c r="G83" i="9"/>
  <c r="G84" i="9"/>
  <c r="G85" i="9"/>
  <c r="G86" i="9"/>
  <c r="G87" i="9"/>
  <c r="G88" i="9"/>
  <c r="G89" i="9"/>
  <c r="G90" i="9"/>
  <c r="G91" i="9"/>
  <c r="G92" i="9"/>
  <c r="G93" i="9"/>
  <c r="G94" i="9"/>
  <c r="G95" i="9"/>
  <c r="G96" i="9"/>
  <c r="G97" i="9"/>
  <c r="G98" i="9"/>
  <c r="G99" i="9"/>
  <c r="G100" i="9"/>
  <c r="G101" i="9"/>
  <c r="G102" i="9"/>
  <c r="G103" i="9"/>
  <c r="G104" i="9"/>
  <c r="G105" i="9"/>
  <c r="G106" i="9"/>
  <c r="G107" i="9"/>
  <c r="G108" i="9"/>
  <c r="G109" i="9"/>
  <c r="G110" i="9"/>
  <c r="G111" i="9"/>
  <c r="G112" i="9"/>
  <c r="G113" i="9"/>
  <c r="G114" i="9"/>
  <c r="G115" i="9"/>
  <c r="G116" i="9"/>
  <c r="G117" i="9"/>
  <c r="G118" i="9"/>
  <c r="G119" i="9"/>
  <c r="G120" i="9"/>
  <c r="G121" i="9"/>
  <c r="G122" i="9"/>
  <c r="G123" i="9"/>
  <c r="G124" i="9"/>
  <c r="G125" i="9"/>
  <c r="G126" i="9"/>
  <c r="G127" i="9"/>
  <c r="G128" i="9"/>
  <c r="G129" i="9"/>
  <c r="G130" i="9"/>
  <c r="G131" i="9"/>
  <c r="G132" i="9"/>
  <c r="G133" i="9"/>
  <c r="G134" i="9"/>
  <c r="G135" i="9"/>
  <c r="G136" i="9"/>
  <c r="G137" i="9"/>
  <c r="G138" i="9"/>
  <c r="G139" i="9"/>
  <c r="G140" i="9"/>
  <c r="G141" i="9"/>
  <c r="G142" i="9"/>
  <c r="G143" i="9"/>
  <c r="G144" i="9"/>
  <c r="G145" i="9"/>
  <c r="G146" i="9"/>
  <c r="G147" i="9"/>
  <c r="G148" i="9"/>
  <c r="G149" i="9"/>
  <c r="G150" i="9"/>
  <c r="G151" i="9"/>
  <c r="G152" i="9"/>
  <c r="G153" i="9"/>
  <c r="G154" i="9"/>
  <c r="G155" i="9"/>
  <c r="G156" i="9"/>
  <c r="G157" i="9"/>
  <c r="G158" i="9"/>
  <c r="G159" i="9"/>
  <c r="G160" i="9"/>
  <c r="G161" i="9"/>
  <c r="G162" i="9"/>
  <c r="G163" i="9"/>
  <c r="G164" i="9"/>
  <c r="G165" i="9"/>
  <c r="G166" i="9"/>
  <c r="G167" i="9"/>
  <c r="G168" i="9"/>
  <c r="G169" i="9"/>
  <c r="G170" i="9"/>
  <c r="G171" i="9"/>
  <c r="G172" i="9"/>
  <c r="G173" i="9"/>
  <c r="G174" i="9"/>
  <c r="G175" i="9"/>
  <c r="G176" i="9"/>
  <c r="G177" i="9"/>
  <c r="G178" i="9"/>
  <c r="G179" i="9"/>
  <c r="G180" i="9"/>
  <c r="G181" i="9"/>
  <c r="G182" i="9"/>
  <c r="G183" i="9"/>
  <c r="G184" i="9"/>
  <c r="G185" i="9"/>
  <c r="G186" i="9"/>
  <c r="G187" i="9"/>
  <c r="G188" i="9"/>
  <c r="G189" i="9"/>
  <c r="G190" i="9"/>
  <c r="G191" i="9"/>
  <c r="G192" i="9"/>
  <c r="G193" i="9"/>
  <c r="G194" i="9"/>
  <c r="G195" i="9"/>
  <c r="G196" i="9"/>
  <c r="G197" i="9"/>
  <c r="G198" i="9"/>
  <c r="G199" i="9"/>
  <c r="G200" i="9"/>
  <c r="G201" i="9"/>
  <c r="G202" i="9"/>
  <c r="G203" i="9"/>
  <c r="G204" i="9"/>
  <c r="G205" i="9"/>
  <c r="F144" i="24" l="1"/>
  <c r="E144" i="25" l="1"/>
  <c r="F144" i="25"/>
  <c r="G144" i="25"/>
  <c r="H144" i="25"/>
  <c r="I144" i="25"/>
  <c r="J144" i="25"/>
  <c r="K144" i="25"/>
  <c r="L144" i="25"/>
  <c r="M144" i="25"/>
  <c r="N144" i="25"/>
  <c r="O144" i="25"/>
  <c r="P144" i="25"/>
  <c r="Q144" i="25"/>
  <c r="R144" i="25"/>
  <c r="S144" i="25"/>
  <c r="T144" i="25"/>
  <c r="U144" i="25"/>
  <c r="V144" i="25"/>
  <c r="W144" i="25"/>
  <c r="X144" i="25"/>
  <c r="G144" i="24"/>
  <c r="H144" i="24"/>
  <c r="I144" i="24"/>
  <c r="E144" i="24"/>
  <c r="G145" i="24"/>
  <c r="H145" i="24"/>
  <c r="I145" i="24"/>
  <c r="E23" i="25"/>
  <c r="E109" i="25" s="1"/>
  <c r="E113" i="25" s="1"/>
  <c r="E76" i="6" l="1"/>
  <c r="E20" i="25"/>
  <c r="E89" i="25"/>
  <c r="E18" i="9" l="1"/>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77" i="9"/>
  <c r="E78" i="9"/>
  <c r="E79" i="9"/>
  <c r="E80" i="9"/>
  <c r="E81" i="9"/>
  <c r="E82" i="9"/>
  <c r="E83" i="9"/>
  <c r="E84" i="9"/>
  <c r="E85" i="9"/>
  <c r="E86" i="9"/>
  <c r="E87" i="9"/>
  <c r="E88" i="9"/>
  <c r="E89" i="9"/>
  <c r="E90" i="9"/>
  <c r="E91" i="9"/>
  <c r="E92" i="9"/>
  <c r="E93" i="9"/>
  <c r="E94" i="9"/>
  <c r="E95" i="9"/>
  <c r="E96" i="9"/>
  <c r="E97" i="9"/>
  <c r="E98" i="9"/>
  <c r="E99" i="9"/>
  <c r="E100" i="9"/>
  <c r="E101" i="9"/>
  <c r="E102" i="9"/>
  <c r="E103" i="9"/>
  <c r="E104" i="9"/>
  <c r="E105" i="9"/>
  <c r="E106" i="9"/>
  <c r="E107" i="9"/>
  <c r="E108" i="9"/>
  <c r="E109" i="9"/>
  <c r="E110" i="9"/>
  <c r="E111" i="9"/>
  <c r="E112" i="9"/>
  <c r="E113" i="9"/>
  <c r="E114" i="9"/>
  <c r="E115" i="9"/>
  <c r="E116" i="9"/>
  <c r="E117" i="9"/>
  <c r="E118" i="9"/>
  <c r="E119" i="9"/>
  <c r="E120" i="9"/>
  <c r="E121" i="9"/>
  <c r="E122" i="9"/>
  <c r="E123" i="9"/>
  <c r="E124" i="9"/>
  <c r="E125" i="9"/>
  <c r="E126" i="9"/>
  <c r="E127" i="9"/>
  <c r="E128" i="9"/>
  <c r="E129" i="9"/>
  <c r="E130" i="9"/>
  <c r="E131" i="9"/>
  <c r="E132" i="9"/>
  <c r="E133" i="9"/>
  <c r="E134" i="9"/>
  <c r="E135" i="9"/>
  <c r="E136" i="9"/>
  <c r="E137" i="9"/>
  <c r="E138" i="9"/>
  <c r="E139" i="9"/>
  <c r="E140" i="9"/>
  <c r="E141" i="9"/>
  <c r="E142" i="9"/>
  <c r="E143" i="9"/>
  <c r="E144" i="9"/>
  <c r="E145" i="9"/>
  <c r="E146" i="9"/>
  <c r="E147" i="9"/>
  <c r="E148" i="9"/>
  <c r="E149" i="9"/>
  <c r="E150" i="9"/>
  <c r="E151" i="9"/>
  <c r="E152" i="9"/>
  <c r="E153" i="9"/>
  <c r="E154" i="9"/>
  <c r="E155" i="9"/>
  <c r="E156" i="9"/>
  <c r="E157" i="9"/>
  <c r="E158" i="9"/>
  <c r="E159" i="9"/>
  <c r="E160" i="9"/>
  <c r="E161" i="9"/>
  <c r="E162" i="9"/>
  <c r="E163" i="9"/>
  <c r="E164" i="9"/>
  <c r="E165" i="9"/>
  <c r="E166" i="9"/>
  <c r="E167" i="9"/>
  <c r="E168" i="9"/>
  <c r="E169" i="9"/>
  <c r="E170" i="9"/>
  <c r="E171" i="9"/>
  <c r="E172" i="9"/>
  <c r="E173" i="9"/>
  <c r="E174" i="9"/>
  <c r="E175" i="9"/>
  <c r="E176" i="9"/>
  <c r="E177" i="9"/>
  <c r="E178" i="9"/>
  <c r="E179" i="9"/>
  <c r="E180" i="9"/>
  <c r="E181" i="9"/>
  <c r="E182" i="9"/>
  <c r="E183" i="9"/>
  <c r="E184" i="9"/>
  <c r="E185" i="9"/>
  <c r="E186" i="9"/>
  <c r="E187" i="9"/>
  <c r="E188" i="9"/>
  <c r="E189" i="9"/>
  <c r="E190" i="9"/>
  <c r="E191" i="9"/>
  <c r="E192" i="9"/>
  <c r="E193" i="9"/>
  <c r="E194" i="9"/>
  <c r="E195" i="9"/>
  <c r="E196" i="9"/>
  <c r="E197" i="9"/>
  <c r="E198" i="9"/>
  <c r="E199" i="9"/>
  <c r="E200" i="9"/>
  <c r="E201" i="9"/>
  <c r="E202" i="9"/>
  <c r="E203" i="9"/>
  <c r="E204" i="9"/>
  <c r="E205" i="9"/>
  <c r="E21" i="25" l="1"/>
  <c r="E32" i="25" l="1"/>
  <c r="F52" i="6"/>
  <c r="G52" i="6"/>
  <c r="H52" i="6"/>
  <c r="I52" i="6"/>
  <c r="F51" i="6"/>
  <c r="G51" i="6"/>
  <c r="H51" i="6"/>
  <c r="I51" i="6"/>
  <c r="F37" i="6"/>
  <c r="G37" i="6"/>
  <c r="H37" i="6"/>
  <c r="I37" i="6"/>
  <c r="F38" i="6"/>
  <c r="G38" i="6"/>
  <c r="H38" i="6"/>
  <c r="I38" i="6"/>
  <c r="F42" i="6"/>
  <c r="G42" i="6"/>
  <c r="H42" i="6"/>
  <c r="I42" i="6"/>
  <c r="F45" i="6"/>
  <c r="G45" i="6"/>
  <c r="H45" i="6"/>
  <c r="I45" i="6"/>
  <c r="F46" i="6"/>
  <c r="G46" i="6"/>
  <c r="H46" i="6"/>
  <c r="I46" i="6"/>
  <c r="E45" i="6"/>
  <c r="E37" i="6"/>
  <c r="D5" i="8"/>
  <c r="B8" i="5"/>
  <c r="K218" i="24" l="1"/>
  <c r="K215" i="24"/>
  <c r="K214" i="24"/>
  <c r="K213" i="24"/>
  <c r="E28" i="24"/>
  <c r="K221" i="24"/>
  <c r="K219" i="24"/>
  <c r="K216" i="24"/>
  <c r="K211" i="24"/>
  <c r="K210" i="24"/>
  <c r="K209" i="24"/>
  <c r="K207" i="24"/>
  <c r="K198" i="24"/>
  <c r="K199" i="24"/>
  <c r="K200" i="24"/>
  <c r="K201" i="24"/>
  <c r="K202" i="24"/>
  <c r="K203" i="24"/>
  <c r="K205" i="24"/>
  <c r="K206" i="24"/>
  <c r="K196" i="24"/>
  <c r="K208" i="24"/>
  <c r="K197" i="24"/>
  <c r="K222" i="24"/>
  <c r="D8" i="8" l="1"/>
  <c r="D9" i="8"/>
  <c r="X151" i="25" l="1"/>
  <c r="W151" i="25"/>
  <c r="V151" i="25"/>
  <c r="U151" i="25"/>
  <c r="T151" i="25"/>
  <c r="S151" i="25"/>
  <c r="R151" i="25"/>
  <c r="Q151" i="25"/>
  <c r="P151" i="25"/>
  <c r="O151" i="25"/>
  <c r="N151" i="25"/>
  <c r="M151" i="25"/>
  <c r="L151" i="25"/>
  <c r="K151" i="25"/>
  <c r="J151" i="25"/>
  <c r="I151" i="25"/>
  <c r="H151" i="25"/>
  <c r="G151" i="25"/>
  <c r="G153" i="25" s="1"/>
  <c r="S18" i="18"/>
  <c r="S19" i="18"/>
  <c r="S20" i="18"/>
  <c r="S21" i="18"/>
  <c r="S17" i="18"/>
  <c r="G21" i="18"/>
  <c r="G20" i="18"/>
  <c r="G19" i="18"/>
  <c r="G18" i="18"/>
  <c r="J16" i="18"/>
  <c r="B37" i="5"/>
  <c r="B38" i="5"/>
  <c r="B39" i="5"/>
  <c r="B40" i="5"/>
  <c r="B36" i="5"/>
  <c r="B18" i="5"/>
  <c r="B19" i="5"/>
  <c r="B20" i="5"/>
  <c r="B21" i="5"/>
  <c r="B22" i="5"/>
  <c r="B23" i="5"/>
  <c r="B24" i="5"/>
  <c r="B25" i="5"/>
  <c r="B26" i="5"/>
  <c r="B17" i="5"/>
  <c r="G88" i="6"/>
  <c r="H88" i="6"/>
  <c r="I88" i="6"/>
  <c r="AC3" i="3"/>
  <c r="AB3" i="3"/>
  <c r="Z3" i="3"/>
  <c r="AA3" i="3"/>
  <c r="T3" i="3"/>
  <c r="U3" i="3"/>
  <c r="V3" i="3"/>
  <c r="W3" i="3"/>
  <c r="X3" i="3"/>
  <c r="Y3" i="3"/>
  <c r="O20" i="25"/>
  <c r="O44" i="25" s="1"/>
  <c r="O48" i="25" s="1"/>
  <c r="P20" i="25"/>
  <c r="P44" i="25" s="1"/>
  <c r="P48" i="25" s="1"/>
  <c r="Q20" i="25"/>
  <c r="Q164" i="25" s="1"/>
  <c r="R20" i="25"/>
  <c r="R44" i="25" s="1"/>
  <c r="R48" i="25" s="1"/>
  <c r="S20" i="25"/>
  <c r="S44" i="25" s="1"/>
  <c r="S48" i="25" s="1"/>
  <c r="T20" i="25"/>
  <c r="T164" i="25" s="1"/>
  <c r="U20" i="25"/>
  <c r="U44" i="25" s="1"/>
  <c r="U45" i="25" s="1"/>
  <c r="V20" i="25"/>
  <c r="V164" i="25" s="1"/>
  <c r="W20" i="25"/>
  <c r="W164" i="25" s="1"/>
  <c r="X20" i="25"/>
  <c r="X164" i="25" s="1"/>
  <c r="O21" i="25"/>
  <c r="O130" i="25" s="1"/>
  <c r="P21" i="25"/>
  <c r="P39" i="25" s="1"/>
  <c r="Q21" i="25"/>
  <c r="R21" i="25"/>
  <c r="R116" i="25" s="1"/>
  <c r="S21" i="25"/>
  <c r="S167" i="25" s="1"/>
  <c r="T21" i="25"/>
  <c r="U21" i="25"/>
  <c r="U100" i="25" s="1"/>
  <c r="V21" i="25"/>
  <c r="V57" i="25" s="1"/>
  <c r="W21" i="25"/>
  <c r="W57" i="25" s="1"/>
  <c r="X21" i="25"/>
  <c r="X57" i="25" s="1"/>
  <c r="O22" i="25"/>
  <c r="O168" i="25" s="1"/>
  <c r="P22" i="25"/>
  <c r="P168" i="25" s="1"/>
  <c r="Q22" i="25"/>
  <c r="Q168" i="25" s="1"/>
  <c r="R22" i="25"/>
  <c r="R168" i="25" s="1"/>
  <c r="S22" i="25"/>
  <c r="S168" i="25" s="1"/>
  <c r="T22" i="25"/>
  <c r="T168" i="25" s="1"/>
  <c r="U22" i="25"/>
  <c r="U168" i="25" s="1"/>
  <c r="V22" i="25"/>
  <c r="V168" i="25" s="1"/>
  <c r="W22" i="25"/>
  <c r="W168" i="25" s="1"/>
  <c r="X22" i="25"/>
  <c r="X168" i="25" s="1"/>
  <c r="O23" i="25"/>
  <c r="O109" i="25" s="1"/>
  <c r="O113" i="25" s="1"/>
  <c r="P23" i="25"/>
  <c r="P109" i="25" s="1"/>
  <c r="P113" i="25" s="1"/>
  <c r="Q23" i="25"/>
  <c r="Q109" i="25" s="1"/>
  <c r="Q113" i="25" s="1"/>
  <c r="R23" i="25"/>
  <c r="R109" i="25" s="1"/>
  <c r="R113" i="25" s="1"/>
  <c r="S23" i="25"/>
  <c r="S109" i="25" s="1"/>
  <c r="S113" i="25" s="1"/>
  <c r="T23" i="25"/>
  <c r="T109" i="25" s="1"/>
  <c r="T113" i="25" s="1"/>
  <c r="U23" i="25"/>
  <c r="U109" i="25" s="1"/>
  <c r="U113" i="25" s="1"/>
  <c r="V23" i="25"/>
  <c r="V109" i="25" s="1"/>
  <c r="V113" i="25" s="1"/>
  <c r="W23" i="25"/>
  <c r="W109" i="25" s="1"/>
  <c r="W113" i="25" s="1"/>
  <c r="X23" i="25"/>
  <c r="X109" i="25" s="1"/>
  <c r="X113" i="25" s="1"/>
  <c r="O24" i="25"/>
  <c r="P24" i="25"/>
  <c r="Q24" i="25"/>
  <c r="R24" i="25"/>
  <c r="S24" i="25"/>
  <c r="T24" i="25"/>
  <c r="U24" i="25"/>
  <c r="V24" i="25"/>
  <c r="W24" i="25"/>
  <c r="X24" i="25"/>
  <c r="O25" i="25"/>
  <c r="P25" i="25"/>
  <c r="Q25" i="25"/>
  <c r="R25" i="25"/>
  <c r="S25" i="25"/>
  <c r="T25" i="25"/>
  <c r="U25" i="25"/>
  <c r="V25" i="25"/>
  <c r="W25" i="25"/>
  <c r="X25" i="25"/>
  <c r="O28" i="25"/>
  <c r="P28" i="25"/>
  <c r="Q28" i="25"/>
  <c r="R28" i="25"/>
  <c r="S28" i="25"/>
  <c r="T28" i="25"/>
  <c r="U28" i="25"/>
  <c r="V28" i="25"/>
  <c r="W28" i="25"/>
  <c r="X28" i="25"/>
  <c r="O29" i="25"/>
  <c r="P29" i="25"/>
  <c r="Q29" i="25"/>
  <c r="R29" i="25"/>
  <c r="S29" i="25"/>
  <c r="T29" i="25"/>
  <c r="U29" i="25"/>
  <c r="V29" i="25"/>
  <c r="W29" i="25"/>
  <c r="X29" i="25"/>
  <c r="O34" i="25"/>
  <c r="P34" i="25"/>
  <c r="Q34" i="25"/>
  <c r="R34" i="25"/>
  <c r="S34" i="25"/>
  <c r="T34" i="25"/>
  <c r="U34" i="25"/>
  <c r="V34" i="25"/>
  <c r="W34" i="25"/>
  <c r="X34" i="25"/>
  <c r="O37" i="25"/>
  <c r="P37" i="25"/>
  <c r="Q37" i="25"/>
  <c r="R37" i="25"/>
  <c r="S37" i="25"/>
  <c r="T37" i="25"/>
  <c r="U37" i="25"/>
  <c r="V37" i="25"/>
  <c r="W37" i="25"/>
  <c r="X37" i="25"/>
  <c r="O55" i="25"/>
  <c r="P55" i="25"/>
  <c r="Q55" i="25"/>
  <c r="R55" i="25"/>
  <c r="S55" i="25"/>
  <c r="T55" i="25"/>
  <c r="U55" i="25"/>
  <c r="V55" i="25"/>
  <c r="W55" i="25"/>
  <c r="X55" i="25"/>
  <c r="O56" i="25"/>
  <c r="P56" i="25"/>
  <c r="Q56" i="25"/>
  <c r="R56" i="25"/>
  <c r="S56" i="25"/>
  <c r="T56" i="25"/>
  <c r="U56" i="25"/>
  <c r="V56" i="25"/>
  <c r="W56" i="25"/>
  <c r="X56" i="25"/>
  <c r="O59" i="25"/>
  <c r="P59" i="25"/>
  <c r="Q59" i="25"/>
  <c r="R59" i="25"/>
  <c r="S59" i="25"/>
  <c r="T59" i="25"/>
  <c r="U59" i="25"/>
  <c r="V59" i="25"/>
  <c r="W59" i="25"/>
  <c r="X59" i="25"/>
  <c r="O88" i="25"/>
  <c r="P88" i="25"/>
  <c r="Q88" i="25"/>
  <c r="R88" i="25"/>
  <c r="S88" i="25"/>
  <c r="T88" i="25"/>
  <c r="U88" i="25"/>
  <c r="V88" i="25"/>
  <c r="W88" i="25"/>
  <c r="X88" i="25"/>
  <c r="O89" i="25"/>
  <c r="P89" i="25"/>
  <c r="Q89" i="25"/>
  <c r="R89" i="25"/>
  <c r="S89" i="25"/>
  <c r="T89" i="25"/>
  <c r="U89" i="25"/>
  <c r="V89" i="25"/>
  <c r="W89" i="25"/>
  <c r="X89" i="25"/>
  <c r="O90" i="25"/>
  <c r="P90" i="25"/>
  <c r="Q90" i="25"/>
  <c r="R90" i="25"/>
  <c r="S90" i="25"/>
  <c r="T90" i="25"/>
  <c r="U90" i="25"/>
  <c r="V90" i="25"/>
  <c r="W90" i="25"/>
  <c r="X90" i="25"/>
  <c r="O93" i="25"/>
  <c r="P93" i="25"/>
  <c r="Q93" i="25"/>
  <c r="R93" i="25"/>
  <c r="S93" i="25"/>
  <c r="T93" i="25"/>
  <c r="U93" i="25"/>
  <c r="V93" i="25"/>
  <c r="W93" i="25"/>
  <c r="X93" i="25"/>
  <c r="O94" i="25"/>
  <c r="P94" i="25"/>
  <c r="Q94" i="25"/>
  <c r="R94" i="25"/>
  <c r="S94" i="25"/>
  <c r="T94" i="25"/>
  <c r="U94" i="25"/>
  <c r="V94" i="25"/>
  <c r="W94" i="25"/>
  <c r="X94" i="25"/>
  <c r="O95" i="25"/>
  <c r="P95" i="25"/>
  <c r="Q95" i="25"/>
  <c r="R95" i="25"/>
  <c r="S95" i="25"/>
  <c r="T95" i="25"/>
  <c r="U95" i="25"/>
  <c r="V95" i="25"/>
  <c r="W95" i="25"/>
  <c r="X95" i="25"/>
  <c r="O101" i="25"/>
  <c r="P101" i="25"/>
  <c r="Q101" i="25"/>
  <c r="R101" i="25"/>
  <c r="S101" i="25"/>
  <c r="T101" i="25"/>
  <c r="U101" i="25"/>
  <c r="V101" i="25"/>
  <c r="W101" i="25"/>
  <c r="X101" i="25"/>
  <c r="O107" i="25"/>
  <c r="P107" i="25"/>
  <c r="Q107" i="25"/>
  <c r="R107" i="25"/>
  <c r="S107" i="25"/>
  <c r="T107" i="25"/>
  <c r="U107" i="25"/>
  <c r="V107" i="25"/>
  <c r="W107" i="25"/>
  <c r="X107" i="25"/>
  <c r="O136" i="25"/>
  <c r="P136" i="25"/>
  <c r="Q136" i="25"/>
  <c r="R136" i="25"/>
  <c r="S136" i="25"/>
  <c r="T136" i="25"/>
  <c r="U136" i="25"/>
  <c r="V136" i="25"/>
  <c r="W136" i="25"/>
  <c r="X136" i="25"/>
  <c r="O146" i="25"/>
  <c r="P146" i="25"/>
  <c r="Q146" i="25"/>
  <c r="R146" i="25"/>
  <c r="S146" i="25"/>
  <c r="T146" i="25"/>
  <c r="U146" i="25"/>
  <c r="V146" i="25"/>
  <c r="W146" i="25"/>
  <c r="X146" i="25"/>
  <c r="O153" i="25"/>
  <c r="P153" i="25"/>
  <c r="Q153" i="25"/>
  <c r="Q183" i="25" s="1"/>
  <c r="Q189" i="25" s="1"/>
  <c r="R153" i="25"/>
  <c r="S153" i="25"/>
  <c r="T153" i="25"/>
  <c r="U153" i="25"/>
  <c r="V153" i="25"/>
  <c r="W153" i="25"/>
  <c r="X153" i="25"/>
  <c r="O158" i="25"/>
  <c r="P158" i="25"/>
  <c r="Q158" i="25"/>
  <c r="R158" i="25"/>
  <c r="S158" i="25"/>
  <c r="T158" i="25"/>
  <c r="U158" i="25"/>
  <c r="V158" i="25"/>
  <c r="W158" i="25"/>
  <c r="X158" i="25"/>
  <c r="O159" i="25"/>
  <c r="P159" i="25"/>
  <c r="Q159" i="25"/>
  <c r="R159" i="25"/>
  <c r="S159" i="25"/>
  <c r="T159" i="25"/>
  <c r="U159" i="25"/>
  <c r="V159" i="25"/>
  <c r="W159" i="25"/>
  <c r="X159" i="25"/>
  <c r="O160" i="25"/>
  <c r="P160" i="25"/>
  <c r="Q160" i="25"/>
  <c r="R160" i="25"/>
  <c r="S160" i="25"/>
  <c r="T160" i="25"/>
  <c r="U160" i="25"/>
  <c r="V160" i="25"/>
  <c r="W160" i="25"/>
  <c r="X160" i="25"/>
  <c r="O163" i="25"/>
  <c r="P163" i="25"/>
  <c r="Q163" i="25"/>
  <c r="R163" i="25"/>
  <c r="S163" i="25"/>
  <c r="T163" i="25"/>
  <c r="U163" i="25"/>
  <c r="V163" i="25"/>
  <c r="W163" i="25"/>
  <c r="X163" i="25"/>
  <c r="O166" i="25"/>
  <c r="P166" i="25"/>
  <c r="Q166" i="25"/>
  <c r="R166" i="25"/>
  <c r="S166" i="25"/>
  <c r="T166" i="25"/>
  <c r="U166" i="25"/>
  <c r="V166" i="25"/>
  <c r="W166" i="25"/>
  <c r="X166" i="25"/>
  <c r="O169" i="25"/>
  <c r="P169" i="25"/>
  <c r="Q169" i="25"/>
  <c r="R169" i="25"/>
  <c r="S169" i="25"/>
  <c r="T169" i="25"/>
  <c r="U169" i="25"/>
  <c r="V169" i="25"/>
  <c r="W169" i="25"/>
  <c r="X169" i="25"/>
  <c r="O171" i="25"/>
  <c r="P171" i="25"/>
  <c r="P184" i="25" s="1"/>
  <c r="P190" i="25" s="1"/>
  <c r="Q171" i="25"/>
  <c r="R171" i="25"/>
  <c r="S171" i="25"/>
  <c r="T171" i="25"/>
  <c r="U171" i="25"/>
  <c r="V171" i="25"/>
  <c r="W171" i="25"/>
  <c r="X171" i="25"/>
  <c r="O176" i="25"/>
  <c r="P176" i="25"/>
  <c r="Q176" i="25"/>
  <c r="R176" i="25"/>
  <c r="S176" i="25"/>
  <c r="T176" i="25"/>
  <c r="U176" i="25"/>
  <c r="V176" i="25"/>
  <c r="W176" i="25"/>
  <c r="X176" i="25"/>
  <c r="O177" i="25"/>
  <c r="P177" i="25"/>
  <c r="Q177" i="25"/>
  <c r="R177" i="25"/>
  <c r="S177" i="25"/>
  <c r="T177" i="25"/>
  <c r="U177" i="25"/>
  <c r="V177" i="25"/>
  <c r="W177" i="25"/>
  <c r="X177" i="25"/>
  <c r="O178" i="25"/>
  <c r="O179" i="25" s="1"/>
  <c r="P178" i="25"/>
  <c r="Q178" i="25"/>
  <c r="R178" i="25"/>
  <c r="S178" i="25"/>
  <c r="T178" i="25"/>
  <c r="U178" i="25"/>
  <c r="V178" i="25"/>
  <c r="W178" i="25"/>
  <c r="X178" i="25"/>
  <c r="E59" i="25"/>
  <c r="F59" i="25"/>
  <c r="O3" i="3"/>
  <c r="P3" i="3"/>
  <c r="Q3" i="3"/>
  <c r="R3" i="3"/>
  <c r="S3" i="3"/>
  <c r="F28" i="24"/>
  <c r="G28" i="24"/>
  <c r="H28" i="24"/>
  <c r="T183" i="25" l="1"/>
  <c r="T189" i="25" s="1"/>
  <c r="S183" i="25"/>
  <c r="S189" i="25" s="1"/>
  <c r="Q179" i="25"/>
  <c r="U184" i="25"/>
  <c r="U190" i="25" s="1"/>
  <c r="Q184" i="25"/>
  <c r="Q190" i="25" s="1"/>
  <c r="S184" i="25"/>
  <c r="S190" i="25" s="1"/>
  <c r="U183" i="25"/>
  <c r="U189" i="25" s="1"/>
  <c r="T184" i="25"/>
  <c r="T190" i="25" s="1"/>
  <c r="S179" i="25"/>
  <c r="R179" i="25"/>
  <c r="X183" i="25"/>
  <c r="X189" i="25" s="1"/>
  <c r="V179" i="25"/>
  <c r="U179" i="25"/>
  <c r="X184" i="25"/>
  <c r="X190" i="25" s="1"/>
  <c r="X179" i="25"/>
  <c r="W179" i="25"/>
  <c r="W183" i="25"/>
  <c r="W189" i="25" s="1"/>
  <c r="O184" i="25"/>
  <c r="O190" i="25" s="1"/>
  <c r="P179" i="25"/>
  <c r="U164" i="25"/>
  <c r="V183" i="25"/>
  <c r="V189" i="25" s="1"/>
  <c r="T179" i="25"/>
  <c r="O57" i="25"/>
  <c r="O58" i="25" s="1"/>
  <c r="X116" i="25"/>
  <c r="O114" i="25"/>
  <c r="O39" i="25"/>
  <c r="O167" i="25"/>
  <c r="U167" i="25"/>
  <c r="U130" i="25"/>
  <c r="U57" i="25"/>
  <c r="U58" i="25" s="1"/>
  <c r="U106" i="25"/>
  <c r="U39" i="25"/>
  <c r="P164" i="25"/>
  <c r="V39" i="25"/>
  <c r="V106" i="25"/>
  <c r="X100" i="25"/>
  <c r="O164" i="25"/>
  <c r="X167" i="25"/>
  <c r="X106" i="25"/>
  <c r="X39" i="25"/>
  <c r="T32" i="25"/>
  <c r="T91" i="25" s="1"/>
  <c r="T96" i="25"/>
  <c r="Q44" i="25"/>
  <c r="Q48" i="25" s="1"/>
  <c r="W114" i="25"/>
  <c r="O96" i="25"/>
  <c r="W106" i="25"/>
  <c r="X96" i="25"/>
  <c r="S130" i="25"/>
  <c r="S114" i="25"/>
  <c r="Q32" i="25"/>
  <c r="Q35" i="25" s="1"/>
  <c r="T114" i="25"/>
  <c r="P96" i="25"/>
  <c r="X32" i="25"/>
  <c r="X35" i="25" s="1"/>
  <c r="Q167" i="25"/>
  <c r="Q130" i="25"/>
  <c r="S100" i="25"/>
  <c r="T39" i="25"/>
  <c r="Q116" i="25"/>
  <c r="S106" i="25"/>
  <c r="S45" i="25"/>
  <c r="S39" i="25"/>
  <c r="T100" i="25"/>
  <c r="T116" i="25"/>
  <c r="S116" i="25"/>
  <c r="T106" i="25"/>
  <c r="Q100" i="25"/>
  <c r="X114" i="25"/>
  <c r="Q106" i="25"/>
  <c r="R39" i="25"/>
  <c r="W44" i="25"/>
  <c r="W48" i="25" s="1"/>
  <c r="Q39" i="25"/>
  <c r="V44" i="25"/>
  <c r="V48" i="25" s="1"/>
  <c r="Q114" i="25"/>
  <c r="T44" i="25"/>
  <c r="T48" i="25" s="1"/>
  <c r="W96" i="25"/>
  <c r="V96" i="25"/>
  <c r="X130" i="25"/>
  <c r="T61" i="25"/>
  <c r="S57" i="25"/>
  <c r="S58" i="25" s="1"/>
  <c r="T167" i="25"/>
  <c r="S61" i="25"/>
  <c r="Q57" i="25"/>
  <c r="Q58" i="25" s="1"/>
  <c r="S32" i="25"/>
  <c r="S42" i="25" s="1"/>
  <c r="X61" i="25"/>
  <c r="T57" i="25"/>
  <c r="T58" i="25" s="1"/>
  <c r="U96" i="25"/>
  <c r="T130" i="25"/>
  <c r="Q61" i="25"/>
  <c r="O183" i="25"/>
  <c r="O189" i="25" s="1"/>
  <c r="R164" i="25"/>
  <c r="R183" i="25"/>
  <c r="R189" i="25" s="1"/>
  <c r="P183" i="25"/>
  <c r="P189" i="25" s="1"/>
  <c r="R184" i="25"/>
  <c r="R190" i="25" s="1"/>
  <c r="R114" i="25"/>
  <c r="R100" i="25"/>
  <c r="R61" i="25"/>
  <c r="R57" i="25"/>
  <c r="R58" i="25" s="1"/>
  <c r="R130" i="25"/>
  <c r="R106" i="25"/>
  <c r="X58" i="25"/>
  <c r="R45" i="25"/>
  <c r="R167" i="25"/>
  <c r="W58" i="25"/>
  <c r="V58" i="25"/>
  <c r="P114" i="25"/>
  <c r="R32" i="25"/>
  <c r="R91" i="25" s="1"/>
  <c r="W167" i="25"/>
  <c r="S164" i="25"/>
  <c r="W130" i="25"/>
  <c r="P116" i="25"/>
  <c r="P100" i="25"/>
  <c r="O61" i="25"/>
  <c r="O32" i="25"/>
  <c r="O35" i="25" s="1"/>
  <c r="P61" i="25"/>
  <c r="P32" i="25"/>
  <c r="P91" i="25" s="1"/>
  <c r="V167" i="25"/>
  <c r="V130" i="25"/>
  <c r="O116" i="25"/>
  <c r="O100" i="25"/>
  <c r="W39" i="25"/>
  <c r="P106" i="25"/>
  <c r="W61" i="25"/>
  <c r="W116" i="25"/>
  <c r="U114" i="25"/>
  <c r="O106" i="25"/>
  <c r="W100" i="25"/>
  <c r="V61" i="25"/>
  <c r="P45" i="25"/>
  <c r="V32" i="25"/>
  <c r="W184" i="25"/>
  <c r="W190" i="25" s="1"/>
  <c r="V116" i="25"/>
  <c r="V100" i="25"/>
  <c r="U61" i="25"/>
  <c r="X44" i="25"/>
  <c r="U32" i="25"/>
  <c r="U48" i="25"/>
  <c r="V114" i="25"/>
  <c r="W32" i="25"/>
  <c r="W91" i="25" s="1"/>
  <c r="V184" i="25"/>
  <c r="V190" i="25" s="1"/>
  <c r="P167" i="25"/>
  <c r="P130" i="25"/>
  <c r="U116" i="25"/>
  <c r="R96" i="25"/>
  <c r="P57" i="25"/>
  <c r="P58" i="25" s="1"/>
  <c r="S96" i="25"/>
  <c r="Q96" i="25"/>
  <c r="O45" i="25"/>
  <c r="C18" i="5"/>
  <c r="C19" i="5"/>
  <c r="C20" i="5"/>
  <c r="C21" i="5"/>
  <c r="C22" i="5"/>
  <c r="C23" i="5"/>
  <c r="C24" i="5"/>
  <c r="C25" i="5"/>
  <c r="C26" i="5"/>
  <c r="C17" i="5"/>
  <c r="T35" i="25" l="1"/>
  <c r="T49" i="25" s="1"/>
  <c r="Q45" i="25"/>
  <c r="Q46" i="25" s="1"/>
  <c r="Q53" i="25" s="1"/>
  <c r="T42" i="25"/>
  <c r="V45" i="25"/>
  <c r="Q91" i="25"/>
  <c r="X91" i="25"/>
  <c r="X42" i="25"/>
  <c r="S35" i="25"/>
  <c r="S49" i="25" s="1"/>
  <c r="S91" i="25"/>
  <c r="Q49" i="25"/>
  <c r="O49" i="25"/>
  <c r="O46" i="25"/>
  <c r="O53" i="25" s="1"/>
  <c r="Q42" i="25"/>
  <c r="T45" i="25"/>
  <c r="O42" i="25"/>
  <c r="W45" i="25"/>
  <c r="O91" i="25"/>
  <c r="V42" i="25"/>
  <c r="V35" i="25"/>
  <c r="W42" i="25"/>
  <c r="W35" i="25"/>
  <c r="W49" i="25" s="1"/>
  <c r="U42" i="25"/>
  <c r="U35" i="25"/>
  <c r="U46" i="25" s="1"/>
  <c r="U53" i="25" s="1"/>
  <c r="X48" i="25"/>
  <c r="X49" i="25" s="1"/>
  <c r="X45" i="25"/>
  <c r="X46" i="25" s="1"/>
  <c r="X53" i="25" s="1"/>
  <c r="U91" i="25"/>
  <c r="P35" i="25"/>
  <c r="P42" i="25"/>
  <c r="R35" i="25"/>
  <c r="R46" i="25" s="1"/>
  <c r="R53" i="25" s="1"/>
  <c r="R42" i="25"/>
  <c r="V91" i="25"/>
  <c r="H75" i="8"/>
  <c r="H74" i="8"/>
  <c r="H76" i="8" s="1"/>
  <c r="H77" i="8"/>
  <c r="D12" i="24"/>
  <c r="V46" i="25" l="1"/>
  <c r="V53" i="25" s="1"/>
  <c r="T46" i="25"/>
  <c r="T53" i="25" s="1"/>
  <c r="S46" i="25"/>
  <c r="S53" i="25" s="1"/>
  <c r="U49" i="25"/>
  <c r="W46" i="25"/>
  <c r="W53" i="25" s="1"/>
  <c r="V49" i="25"/>
  <c r="P49" i="25"/>
  <c r="P46" i="25"/>
  <c r="P53" i="25" s="1"/>
  <c r="R49" i="25"/>
  <c r="I14" i="1"/>
  <c r="H9" i="1"/>
  <c r="H8" i="1"/>
  <c r="G9" i="1"/>
  <c r="G8" i="1"/>
  <c r="G7" i="1"/>
  <c r="G6" i="1"/>
  <c r="G5" i="1"/>
  <c r="I9" i="1"/>
  <c r="I8" i="1"/>
  <c r="H5" i="1"/>
  <c r="H6" i="1"/>
  <c r="H7" i="1"/>
  <c r="H16" i="1"/>
  <c r="H17" i="1"/>
  <c r="H18" i="1"/>
  <c r="I5" i="1"/>
  <c r="I6" i="1"/>
  <c r="I7" i="1"/>
  <c r="I11" i="1"/>
  <c r="I13" i="1"/>
  <c r="I15" i="1"/>
  <c r="I17" i="1"/>
  <c r="I16" i="1"/>
  <c r="I18" i="1"/>
  <c r="G11" i="1"/>
  <c r="J8" i="1" l="1"/>
  <c r="J7" i="1"/>
  <c r="J6" i="1"/>
  <c r="J11" i="1"/>
  <c r="J9" i="1"/>
  <c r="J5" i="1"/>
  <c r="G18" i="1"/>
  <c r="J18" i="1" s="1"/>
  <c r="G17" i="1"/>
  <c r="J17" i="1" s="1"/>
  <c r="G16" i="1"/>
  <c r="J16" i="1" s="1"/>
  <c r="G15" i="1"/>
  <c r="J15" i="1" s="1"/>
  <c r="G13" i="1"/>
  <c r="J13" i="1" s="1"/>
  <c r="G14" i="1"/>
  <c r="J14" i="1" s="1"/>
  <c r="E27" i="24" l="1"/>
  <c r="F27" i="24" s="1"/>
  <c r="G27" i="24"/>
  <c r="F90" i="24"/>
  <c r="G90" i="24"/>
  <c r="H90" i="24"/>
  <c r="E90" i="24"/>
  <c r="F90" i="25"/>
  <c r="G90" i="25"/>
  <c r="H90" i="25"/>
  <c r="I90" i="25"/>
  <c r="J90" i="25"/>
  <c r="K90" i="25"/>
  <c r="L90" i="25"/>
  <c r="M90" i="25"/>
  <c r="N90" i="25"/>
  <c r="E90" i="25"/>
  <c r="Q17" i="8"/>
  <c r="Q18" i="8" s="1"/>
  <c r="F21" i="6"/>
  <c r="G21" i="6"/>
  <c r="H21" i="6"/>
  <c r="I21" i="6"/>
  <c r="E21" i="6"/>
  <c r="H100" i="8"/>
  <c r="G68" i="6"/>
  <c r="H68" i="6"/>
  <c r="I68" i="6"/>
  <c r="F69" i="6"/>
  <c r="G69" i="6"/>
  <c r="H69" i="6"/>
  <c r="I69" i="6"/>
  <c r="G70" i="6"/>
  <c r="H70" i="6"/>
  <c r="I70" i="6"/>
  <c r="G73" i="6"/>
  <c r="H73" i="6"/>
  <c r="I73" i="6"/>
  <c r="G74" i="6"/>
  <c r="H74" i="6"/>
  <c r="I74" i="6"/>
  <c r="G77" i="6"/>
  <c r="H77" i="6"/>
  <c r="I77" i="6"/>
  <c r="G78" i="6"/>
  <c r="H78" i="6"/>
  <c r="I78" i="6"/>
  <c r="J15" i="18"/>
  <c r="J14" i="18"/>
  <c r="J13" i="18"/>
  <c r="J12" i="18"/>
  <c r="J11" i="18"/>
  <c r="J10" i="18"/>
  <c r="J9" i="18"/>
  <c r="J8" i="18"/>
  <c r="J7" i="18"/>
  <c r="J6" i="18"/>
  <c r="J5" i="18"/>
  <c r="J4" i="18"/>
  <c r="J3" i="18"/>
  <c r="J6" i="5"/>
  <c r="E151" i="25" s="1"/>
  <c r="J7" i="5"/>
  <c r="J9" i="5"/>
  <c r="J10" i="5"/>
  <c r="P146" i="8" s="1"/>
  <c r="C7" i="5"/>
  <c r="C6" i="5"/>
  <c r="E42" i="6" l="1"/>
  <c r="E51" i="6"/>
  <c r="E46" i="6"/>
  <c r="K3" i="3"/>
  <c r="L3" i="3"/>
  <c r="M3" i="3"/>
  <c r="J3" i="3"/>
  <c r="B3" i="5" l="1"/>
  <c r="D78" i="6" l="1"/>
  <c r="D15" i="24"/>
  <c r="I20" i="25"/>
  <c r="J20" i="25"/>
  <c r="J44" i="25" s="1"/>
  <c r="J48" i="25" s="1"/>
  <c r="K20" i="25"/>
  <c r="L20" i="25"/>
  <c r="M20" i="25"/>
  <c r="N20" i="25"/>
  <c r="I21" i="25"/>
  <c r="I57" i="25" s="1"/>
  <c r="J21" i="25"/>
  <c r="J61" i="25" s="1"/>
  <c r="K21" i="25"/>
  <c r="K61" i="25" s="1"/>
  <c r="L21" i="25"/>
  <c r="L106" i="25" s="1"/>
  <c r="M21" i="25"/>
  <c r="M57" i="25" s="1"/>
  <c r="N21" i="25"/>
  <c r="N61" i="25" s="1"/>
  <c r="I22" i="25"/>
  <c r="I168" i="25" s="1"/>
  <c r="J22" i="25"/>
  <c r="J168" i="25" s="1"/>
  <c r="K22" i="25"/>
  <c r="K168" i="25" s="1"/>
  <c r="L22" i="25"/>
  <c r="L168" i="25" s="1"/>
  <c r="M22" i="25"/>
  <c r="N22" i="25"/>
  <c r="N168" i="25" s="1"/>
  <c r="I23" i="25"/>
  <c r="I109" i="25" s="1"/>
  <c r="I113" i="25" s="1"/>
  <c r="J23" i="25"/>
  <c r="J109" i="25" s="1"/>
  <c r="J113" i="25" s="1"/>
  <c r="K23" i="25"/>
  <c r="K109" i="25" s="1"/>
  <c r="K113" i="25" s="1"/>
  <c r="L23" i="25"/>
  <c r="L109" i="25" s="1"/>
  <c r="L113" i="25" s="1"/>
  <c r="M23" i="25"/>
  <c r="M109" i="25" s="1"/>
  <c r="M113" i="25" s="1"/>
  <c r="N23" i="25"/>
  <c r="N109" i="25" s="1"/>
  <c r="N113" i="25" s="1"/>
  <c r="I24" i="25"/>
  <c r="J24" i="25"/>
  <c r="K24" i="25"/>
  <c r="L24" i="25"/>
  <c r="M24" i="25"/>
  <c r="N24" i="25"/>
  <c r="I25" i="25"/>
  <c r="J25" i="25"/>
  <c r="K25" i="25"/>
  <c r="L25" i="25"/>
  <c r="M25" i="25"/>
  <c r="N25" i="25"/>
  <c r="I28" i="25"/>
  <c r="J28" i="25"/>
  <c r="K28" i="25"/>
  <c r="L28" i="25"/>
  <c r="M28" i="25"/>
  <c r="N28" i="25"/>
  <c r="I29" i="25"/>
  <c r="F21" i="5" s="1"/>
  <c r="J29" i="25"/>
  <c r="F22" i="5" s="1"/>
  <c r="K29" i="25"/>
  <c r="F23" i="5" s="1"/>
  <c r="L29" i="25"/>
  <c r="F24" i="5" s="1"/>
  <c r="M29" i="25"/>
  <c r="F25" i="5" s="1"/>
  <c r="N29" i="25"/>
  <c r="F26" i="5" s="1"/>
  <c r="I34" i="25"/>
  <c r="J34" i="25"/>
  <c r="K34" i="25"/>
  <c r="L34" i="25"/>
  <c r="M34" i="25"/>
  <c r="N34" i="25"/>
  <c r="I37" i="25"/>
  <c r="J37" i="25"/>
  <c r="K37" i="25"/>
  <c r="L37" i="25"/>
  <c r="M37" i="25"/>
  <c r="N37" i="25"/>
  <c r="I55" i="25"/>
  <c r="J55" i="25"/>
  <c r="K55" i="25"/>
  <c r="L55" i="25"/>
  <c r="M55" i="25"/>
  <c r="N55" i="25"/>
  <c r="I56" i="25"/>
  <c r="J56" i="25"/>
  <c r="K56" i="25"/>
  <c r="L56" i="25"/>
  <c r="M56" i="25"/>
  <c r="N56" i="25"/>
  <c r="I59" i="25"/>
  <c r="J59" i="25"/>
  <c r="K59" i="25"/>
  <c r="L59" i="25"/>
  <c r="M59" i="25"/>
  <c r="N59" i="25"/>
  <c r="I88" i="25"/>
  <c r="J88" i="25"/>
  <c r="K88" i="25"/>
  <c r="L88" i="25"/>
  <c r="M88" i="25"/>
  <c r="N88" i="25"/>
  <c r="I89" i="25"/>
  <c r="J89" i="25"/>
  <c r="K89" i="25"/>
  <c r="L89" i="25"/>
  <c r="M89" i="25"/>
  <c r="N89" i="25"/>
  <c r="I93" i="25"/>
  <c r="J93" i="25"/>
  <c r="K93" i="25"/>
  <c r="L93" i="25"/>
  <c r="M93" i="25"/>
  <c r="N93" i="25"/>
  <c r="I94" i="25"/>
  <c r="J94" i="25"/>
  <c r="K94" i="25"/>
  <c r="L94" i="25"/>
  <c r="M94" i="25"/>
  <c r="N94" i="25"/>
  <c r="I95" i="25"/>
  <c r="J95" i="25"/>
  <c r="K95" i="25"/>
  <c r="L95" i="25"/>
  <c r="M95" i="25"/>
  <c r="N95" i="25"/>
  <c r="I101" i="25"/>
  <c r="J101" i="25"/>
  <c r="K101" i="25"/>
  <c r="L101" i="25"/>
  <c r="M101" i="25"/>
  <c r="N101" i="25"/>
  <c r="I107" i="25"/>
  <c r="J107" i="25"/>
  <c r="K107" i="25"/>
  <c r="L107" i="25"/>
  <c r="M107" i="25"/>
  <c r="N107" i="25"/>
  <c r="I136" i="25"/>
  <c r="J136" i="25"/>
  <c r="K136" i="25"/>
  <c r="L136" i="25"/>
  <c r="M136" i="25"/>
  <c r="N136" i="25"/>
  <c r="I146" i="25"/>
  <c r="J146" i="25"/>
  <c r="K146" i="25"/>
  <c r="L146" i="25"/>
  <c r="M146" i="25"/>
  <c r="N146" i="25"/>
  <c r="J153" i="25"/>
  <c r="K153" i="25"/>
  <c r="L153" i="25"/>
  <c r="M153" i="25"/>
  <c r="N153" i="25"/>
  <c r="I158" i="25"/>
  <c r="J158" i="25"/>
  <c r="K158" i="25"/>
  <c r="L158" i="25"/>
  <c r="M158" i="25"/>
  <c r="N158" i="25"/>
  <c r="I159" i="25"/>
  <c r="J159" i="25"/>
  <c r="K159" i="25"/>
  <c r="L159" i="25"/>
  <c r="M159" i="25"/>
  <c r="N159" i="25"/>
  <c r="I160" i="25"/>
  <c r="J160" i="25"/>
  <c r="K160" i="25"/>
  <c r="L160" i="25"/>
  <c r="M160" i="25"/>
  <c r="N160" i="25"/>
  <c r="I163" i="25"/>
  <c r="J163" i="25"/>
  <c r="K163" i="25"/>
  <c r="L163" i="25"/>
  <c r="M163" i="25"/>
  <c r="N163" i="25"/>
  <c r="I166" i="25"/>
  <c r="J166" i="25"/>
  <c r="K166" i="25"/>
  <c r="L166" i="25"/>
  <c r="M166" i="25"/>
  <c r="N166" i="25"/>
  <c r="I169" i="25"/>
  <c r="J169" i="25"/>
  <c r="K169" i="25"/>
  <c r="L169" i="25"/>
  <c r="M169" i="25"/>
  <c r="N169" i="25"/>
  <c r="I171" i="25"/>
  <c r="J171" i="25"/>
  <c r="K171" i="25"/>
  <c r="L171" i="25"/>
  <c r="M171" i="25"/>
  <c r="N171" i="25"/>
  <c r="I176" i="25"/>
  <c r="G21" i="5" s="1"/>
  <c r="J176" i="25"/>
  <c r="G22" i="5" s="1"/>
  <c r="K176" i="25"/>
  <c r="G23" i="5" s="1"/>
  <c r="L176" i="25"/>
  <c r="G24" i="5" s="1"/>
  <c r="M176" i="25"/>
  <c r="G25" i="5" s="1"/>
  <c r="N176" i="25"/>
  <c r="G26" i="5" s="1"/>
  <c r="I177" i="25"/>
  <c r="H21" i="5" s="1"/>
  <c r="J177" i="25"/>
  <c r="H22" i="5" s="1"/>
  <c r="K177" i="25"/>
  <c r="H23" i="5" s="1"/>
  <c r="L177" i="25"/>
  <c r="H24" i="5" s="1"/>
  <c r="M177" i="25"/>
  <c r="H25" i="5" s="1"/>
  <c r="N177" i="25"/>
  <c r="H26" i="5" s="1"/>
  <c r="I178" i="25"/>
  <c r="J178" i="25"/>
  <c r="K178" i="25"/>
  <c r="L178" i="25"/>
  <c r="M178" i="25"/>
  <c r="N178" i="25"/>
  <c r="D18" i="5"/>
  <c r="E18" i="5"/>
  <c r="D19" i="5"/>
  <c r="E19" i="5"/>
  <c r="D20" i="5"/>
  <c r="E20" i="5"/>
  <c r="D21" i="5"/>
  <c r="E21" i="5"/>
  <c r="D22" i="5"/>
  <c r="E22" i="5"/>
  <c r="D23" i="5"/>
  <c r="E23" i="5"/>
  <c r="D24" i="5"/>
  <c r="E24" i="5"/>
  <c r="D25" i="5"/>
  <c r="E25" i="5"/>
  <c r="D26" i="5"/>
  <c r="E26" i="5"/>
  <c r="E17" i="5"/>
  <c r="D17" i="5"/>
  <c r="H166" i="25"/>
  <c r="G166" i="25"/>
  <c r="H146" i="25"/>
  <c r="G146" i="25"/>
  <c r="F146" i="25"/>
  <c r="H107" i="25"/>
  <c r="G107" i="25"/>
  <c r="F107" i="25"/>
  <c r="D107" i="25"/>
  <c r="H101" i="25"/>
  <c r="G101" i="25"/>
  <c r="F101" i="25"/>
  <c r="E101" i="25"/>
  <c r="H95" i="25"/>
  <c r="G95" i="25"/>
  <c r="F95" i="25"/>
  <c r="E95" i="25"/>
  <c r="H94" i="25"/>
  <c r="G94" i="25"/>
  <c r="F94" i="25"/>
  <c r="E94" i="25"/>
  <c r="H93" i="25"/>
  <c r="G93" i="25"/>
  <c r="F93" i="25"/>
  <c r="H89" i="25"/>
  <c r="G89" i="25"/>
  <c r="F89" i="25"/>
  <c r="H88" i="25"/>
  <c r="G88" i="25"/>
  <c r="F88" i="25"/>
  <c r="E88" i="25"/>
  <c r="H59" i="25"/>
  <c r="G59" i="25"/>
  <c r="H37" i="25"/>
  <c r="G37" i="25"/>
  <c r="F37" i="25"/>
  <c r="E37" i="25"/>
  <c r="H34" i="25"/>
  <c r="G34" i="25"/>
  <c r="F34" i="25"/>
  <c r="E34" i="25"/>
  <c r="H28" i="25"/>
  <c r="G28" i="25"/>
  <c r="G29" i="25" s="1"/>
  <c r="F19" i="5" s="1"/>
  <c r="H25" i="25"/>
  <c r="G25" i="25"/>
  <c r="F25" i="25"/>
  <c r="E25" i="25"/>
  <c r="H24" i="25"/>
  <c r="G24" i="25"/>
  <c r="F24" i="25"/>
  <c r="E24" i="25"/>
  <c r="H23" i="25"/>
  <c r="H109" i="25" s="1"/>
  <c r="H113" i="25" s="1"/>
  <c r="G23" i="25"/>
  <c r="F23" i="25"/>
  <c r="F109" i="25" s="1"/>
  <c r="F113" i="25" s="1"/>
  <c r="H22" i="25"/>
  <c r="G22" i="25"/>
  <c r="F22" i="25"/>
  <c r="H21" i="25"/>
  <c r="H57" i="25" s="1"/>
  <c r="G21" i="25"/>
  <c r="F21" i="25"/>
  <c r="H20" i="25"/>
  <c r="H44" i="25" s="1"/>
  <c r="H48" i="25" s="1"/>
  <c r="G20" i="25"/>
  <c r="G44" i="25" s="1"/>
  <c r="G48" i="25" s="1"/>
  <c r="F20" i="25"/>
  <c r="A2" i="25"/>
  <c r="G62" i="6"/>
  <c r="H62" i="6"/>
  <c r="I62" i="6"/>
  <c r="G63" i="6"/>
  <c r="H63" i="6"/>
  <c r="I63" i="6"/>
  <c r="D61" i="6"/>
  <c r="G109" i="25" l="1"/>
  <c r="G113" i="25" s="1"/>
  <c r="I76" i="6"/>
  <c r="H76" i="6"/>
  <c r="G76" i="6"/>
  <c r="F76" i="6"/>
  <c r="N114" i="25"/>
  <c r="M130" i="25"/>
  <c r="M116" i="25"/>
  <c r="M100" i="25"/>
  <c r="F44" i="25"/>
  <c r="F48" i="25" s="1"/>
  <c r="F88" i="6"/>
  <c r="E88" i="6"/>
  <c r="M184" i="25"/>
  <c r="M190" i="25" s="1"/>
  <c r="I179" i="25"/>
  <c r="I21" i="5" s="1"/>
  <c r="N184" i="25"/>
  <c r="N190" i="25" s="1"/>
  <c r="M183" i="25"/>
  <c r="M189" i="25" s="1"/>
  <c r="N183" i="25"/>
  <c r="N189" i="25" s="1"/>
  <c r="N179" i="25"/>
  <c r="I26" i="5" s="1"/>
  <c r="J184" i="25"/>
  <c r="J190" i="25" s="1"/>
  <c r="M179" i="25"/>
  <c r="I25" i="5" s="1"/>
  <c r="L183" i="25"/>
  <c r="L189" i="25" s="1"/>
  <c r="K183" i="25"/>
  <c r="K189" i="25" s="1"/>
  <c r="M96" i="25"/>
  <c r="L179" i="25"/>
  <c r="I24" i="5" s="1"/>
  <c r="K179" i="25"/>
  <c r="I23" i="5" s="1"/>
  <c r="I183" i="25"/>
  <c r="I189" i="25" s="1"/>
  <c r="L184" i="25"/>
  <c r="L190" i="25" s="1"/>
  <c r="K184" i="25"/>
  <c r="K190" i="25" s="1"/>
  <c r="J179" i="25"/>
  <c r="I22" i="5" s="1"/>
  <c r="J183" i="25"/>
  <c r="J189" i="25" s="1"/>
  <c r="M114" i="25"/>
  <c r="J164" i="25"/>
  <c r="M44" i="25"/>
  <c r="M48" i="25" s="1"/>
  <c r="M164" i="25"/>
  <c r="I164" i="25"/>
  <c r="I44" i="25"/>
  <c r="I48" i="25" s="1"/>
  <c r="K164" i="25"/>
  <c r="M32" i="25"/>
  <c r="M42" i="25" s="1"/>
  <c r="M106" i="25"/>
  <c r="M61" i="25"/>
  <c r="M168" i="25"/>
  <c r="K116" i="25"/>
  <c r="K114" i="25"/>
  <c r="J114" i="25"/>
  <c r="I114" i="25"/>
  <c r="I106" i="25"/>
  <c r="K167" i="25"/>
  <c r="I167" i="25"/>
  <c r="I130" i="25"/>
  <c r="K106" i="25"/>
  <c r="K57" i="25"/>
  <c r="K58" i="25" s="1"/>
  <c r="K130" i="25"/>
  <c r="K44" i="25"/>
  <c r="K45" i="25" s="1"/>
  <c r="I32" i="25"/>
  <c r="I35" i="25" s="1"/>
  <c r="I100" i="25"/>
  <c r="N44" i="25"/>
  <c r="N48" i="25" s="1"/>
  <c r="L116" i="25"/>
  <c r="L44" i="25"/>
  <c r="L48" i="25" s="1"/>
  <c r="I96" i="25"/>
  <c r="L57" i="25"/>
  <c r="L58" i="25" s="1"/>
  <c r="N164" i="25"/>
  <c r="J96" i="25"/>
  <c r="N96" i="25"/>
  <c r="L39" i="25"/>
  <c r="L167" i="25"/>
  <c r="K39" i="25"/>
  <c r="K32" i="25"/>
  <c r="K42" i="25" s="1"/>
  <c r="F32" i="25"/>
  <c r="F42" i="25" s="1"/>
  <c r="L100" i="25"/>
  <c r="L61" i="25"/>
  <c r="L114" i="25"/>
  <c r="L130" i="25"/>
  <c r="K100" i="25"/>
  <c r="J45" i="25"/>
  <c r="I184" i="25"/>
  <c r="I190" i="25" s="1"/>
  <c r="M167" i="25"/>
  <c r="L164" i="25"/>
  <c r="I61" i="25"/>
  <c r="M39" i="25"/>
  <c r="K96" i="25"/>
  <c r="I39" i="25"/>
  <c r="I116" i="25"/>
  <c r="I58" i="25"/>
  <c r="M58" i="25"/>
  <c r="N32" i="25"/>
  <c r="N91" i="25" s="1"/>
  <c r="N39" i="25"/>
  <c r="N57" i="25"/>
  <c r="N58" i="25" s="1"/>
  <c r="N100" i="25"/>
  <c r="N106" i="25"/>
  <c r="N116" i="25"/>
  <c r="N130" i="25"/>
  <c r="N167" i="25"/>
  <c r="J32" i="25"/>
  <c r="J91" i="25" s="1"/>
  <c r="J39" i="25"/>
  <c r="J57" i="25"/>
  <c r="J58" i="25" s="1"/>
  <c r="J100" i="25"/>
  <c r="J106" i="25"/>
  <c r="J116" i="25"/>
  <c r="J130" i="25"/>
  <c r="J167" i="25"/>
  <c r="L32" i="25"/>
  <c r="L91" i="25" s="1"/>
  <c r="L96" i="25"/>
  <c r="F57" i="25"/>
  <c r="G32" i="25"/>
  <c r="G35" i="25" s="1"/>
  <c r="H96" i="25"/>
  <c r="F96" i="25"/>
  <c r="G57" i="25"/>
  <c r="G96" i="25"/>
  <c r="H29" i="25"/>
  <c r="F20" i="5" s="1"/>
  <c r="H45" i="25"/>
  <c r="E100" i="25"/>
  <c r="E106" i="25"/>
  <c r="F100" i="25"/>
  <c r="F106" i="25"/>
  <c r="G45" i="25"/>
  <c r="H106" i="25"/>
  <c r="H100" i="25"/>
  <c r="G106" i="25"/>
  <c r="H32" i="25"/>
  <c r="H91" i="25" s="1"/>
  <c r="G39" i="25"/>
  <c r="E44" i="25"/>
  <c r="E48" i="25" s="1"/>
  <c r="E57" i="25"/>
  <c r="G100" i="25"/>
  <c r="G91" i="25" l="1"/>
  <c r="F39" i="25"/>
  <c r="F45" i="25"/>
  <c r="M91" i="25"/>
  <c r="K91" i="25"/>
  <c r="I91" i="25"/>
  <c r="F91" i="25"/>
  <c r="F114" i="25" s="1"/>
  <c r="G114" i="25"/>
  <c r="I45" i="25"/>
  <c r="I46" i="25" s="1"/>
  <c r="I53" i="25" s="1"/>
  <c r="M45" i="25"/>
  <c r="M35" i="25"/>
  <c r="M49" i="25" s="1"/>
  <c r="L45" i="25"/>
  <c r="I42" i="25"/>
  <c r="I49" i="25"/>
  <c r="N45" i="25"/>
  <c r="K48" i="25"/>
  <c r="F35" i="25"/>
  <c r="K35" i="25"/>
  <c r="K46" i="25" s="1"/>
  <c r="K53" i="25" s="1"/>
  <c r="G42" i="25"/>
  <c r="N35" i="25"/>
  <c r="N42" i="25"/>
  <c r="L42" i="25"/>
  <c r="L35" i="25"/>
  <c r="J35" i="25"/>
  <c r="J49" i="25" s="1"/>
  <c r="J42" i="25"/>
  <c r="G49" i="25"/>
  <c r="G46" i="25"/>
  <c r="G53" i="25" s="1"/>
  <c r="H114" i="25"/>
  <c r="E29" i="25"/>
  <c r="F18" i="5"/>
  <c r="H42" i="25"/>
  <c r="H35" i="25"/>
  <c r="E45" i="25"/>
  <c r="H39" i="25"/>
  <c r="G55" i="25" l="1"/>
  <c r="F46" i="25"/>
  <c r="F53" i="25" s="1"/>
  <c r="F17" i="5"/>
  <c r="N46" i="25"/>
  <c r="N53" i="25" s="1"/>
  <c r="M46" i="25"/>
  <c r="M53" i="25" s="1"/>
  <c r="F49" i="25"/>
  <c r="J46" i="25"/>
  <c r="J53" i="25" s="1"/>
  <c r="K49" i="25"/>
  <c r="N49" i="25"/>
  <c r="L49" i="25"/>
  <c r="L46" i="25"/>
  <c r="L53" i="25" s="1"/>
  <c r="H46" i="25"/>
  <c r="H53" i="25" s="1"/>
  <c r="H49" i="25"/>
  <c r="H55" i="25" s="1"/>
  <c r="F55" i="25" l="1"/>
  <c r="K36" i="8"/>
  <c r="P36" i="8"/>
  <c r="L36" i="8"/>
  <c r="M36" i="8"/>
  <c r="N36" i="8"/>
  <c r="O36" i="8"/>
  <c r="K37" i="8"/>
  <c r="P37" i="8"/>
  <c r="F7" i="8"/>
  <c r="H56" i="25" l="1"/>
  <c r="H58" i="25" s="1"/>
  <c r="H61" i="25" s="1"/>
  <c r="H130" i="25" l="1"/>
  <c r="F166" i="24"/>
  <c r="G166" i="24"/>
  <c r="H166" i="24"/>
  <c r="E166" i="24"/>
  <c r="H136" i="25" l="1"/>
  <c r="G183" i="25" l="1"/>
  <c r="G189" i="25" s="1"/>
  <c r="Q149" i="8"/>
  <c r="Q143" i="8"/>
  <c r="D159" i="25" s="1"/>
  <c r="Q92" i="8"/>
  <c r="Q88" i="8"/>
  <c r="Q84" i="8"/>
  <c r="Q70" i="8"/>
  <c r="Q66" i="8"/>
  <c r="Q48" i="8"/>
  <c r="Q44" i="8"/>
  <c r="D75" i="25" s="1"/>
  <c r="Q94" i="8"/>
  <c r="Q86" i="8"/>
  <c r="Q50" i="8"/>
  <c r="Q42" i="8"/>
  <c r="D73" i="25" s="1"/>
  <c r="Q107" i="8"/>
  <c r="Q93" i="8"/>
  <c r="Q85" i="8"/>
  <c r="Q71" i="8"/>
  <c r="Q49" i="8"/>
  <c r="Q41" i="8"/>
  <c r="D72" i="25" s="1"/>
  <c r="Q142" i="8"/>
  <c r="D158" i="25" s="1"/>
  <c r="Q87" i="8"/>
  <c r="Q79" i="8"/>
  <c r="Q69" i="8"/>
  <c r="Q43" i="8"/>
  <c r="D74" i="25" s="1"/>
  <c r="Q108" i="8"/>
  <c r="Q90" i="8"/>
  <c r="Q68" i="8"/>
  <c r="Q46" i="8"/>
  <c r="D77" i="25" s="1"/>
  <c r="Q89" i="8"/>
  <c r="Q67" i="8"/>
  <c r="Q45" i="8"/>
  <c r="D76" i="25" s="1"/>
  <c r="R76" i="25" l="1"/>
  <c r="X76" i="25"/>
  <c r="U76" i="25"/>
  <c r="V76" i="25"/>
  <c r="W76" i="25"/>
  <c r="P76" i="25"/>
  <c r="O76" i="25"/>
  <c r="S76" i="25"/>
  <c r="Q76" i="25"/>
  <c r="T76" i="25"/>
  <c r="R72" i="25"/>
  <c r="T72" i="25"/>
  <c r="W72" i="25"/>
  <c r="X72" i="25"/>
  <c r="U72" i="25"/>
  <c r="V72" i="25"/>
  <c r="Q72" i="25"/>
  <c r="S72" i="25"/>
  <c r="P72" i="25"/>
  <c r="O72" i="25"/>
  <c r="X77" i="25"/>
  <c r="V77" i="25"/>
  <c r="P77" i="25"/>
  <c r="R77" i="25"/>
  <c r="U77" i="25"/>
  <c r="T77" i="25"/>
  <c r="W77" i="25"/>
  <c r="Q77" i="25"/>
  <c r="S77" i="25"/>
  <c r="O77" i="25"/>
  <c r="W73" i="25"/>
  <c r="P73" i="25"/>
  <c r="X73" i="25"/>
  <c r="Q73" i="25"/>
  <c r="R73" i="25"/>
  <c r="T73" i="25"/>
  <c r="V73" i="25"/>
  <c r="U73" i="25"/>
  <c r="O73" i="25"/>
  <c r="S73" i="25"/>
  <c r="X74" i="25"/>
  <c r="V74" i="25"/>
  <c r="Q74" i="25"/>
  <c r="R74" i="25"/>
  <c r="U74" i="25"/>
  <c r="P74" i="25"/>
  <c r="S74" i="25"/>
  <c r="O74" i="25"/>
  <c r="T74" i="25"/>
  <c r="W74" i="25"/>
  <c r="X75" i="25"/>
  <c r="P75" i="25"/>
  <c r="T75" i="25"/>
  <c r="R75" i="25"/>
  <c r="W75" i="25"/>
  <c r="U75" i="25"/>
  <c r="O75" i="25"/>
  <c r="S75" i="25"/>
  <c r="V75" i="25"/>
  <c r="Q75" i="25"/>
  <c r="J75" i="25"/>
  <c r="N75" i="25"/>
  <c r="K75" i="25"/>
  <c r="L75" i="25"/>
  <c r="I75" i="25"/>
  <c r="M75" i="25"/>
  <c r="H75" i="25"/>
  <c r="J73" i="25"/>
  <c r="N73" i="25"/>
  <c r="K73" i="25"/>
  <c r="L73" i="25"/>
  <c r="I73" i="25"/>
  <c r="M73" i="25"/>
  <c r="H73" i="25"/>
  <c r="J77" i="25"/>
  <c r="N77" i="25"/>
  <c r="K77" i="25"/>
  <c r="L77" i="25"/>
  <c r="I77" i="25"/>
  <c r="M77" i="25"/>
  <c r="H77" i="25"/>
  <c r="K72" i="25"/>
  <c r="L72" i="25"/>
  <c r="I72" i="25"/>
  <c r="J72" i="25"/>
  <c r="N72" i="25"/>
  <c r="M72" i="25"/>
  <c r="H72" i="25"/>
  <c r="K74" i="25"/>
  <c r="L74" i="25"/>
  <c r="N74" i="25"/>
  <c r="M74" i="25"/>
  <c r="J74" i="25"/>
  <c r="I74" i="25"/>
  <c r="H74" i="25"/>
  <c r="K76" i="25"/>
  <c r="L76" i="25"/>
  <c r="J76" i="25"/>
  <c r="I76" i="25"/>
  <c r="M76" i="25"/>
  <c r="N76" i="25"/>
  <c r="H76" i="25"/>
  <c r="H183" i="25"/>
  <c r="H189" i="25" s="1"/>
  <c r="H158" i="25"/>
  <c r="D37" i="5"/>
  <c r="F37" i="5"/>
  <c r="D38" i="5"/>
  <c r="F38" i="5"/>
  <c r="D39" i="5"/>
  <c r="F39" i="5"/>
  <c r="D40" i="5"/>
  <c r="F40" i="5"/>
  <c r="F36" i="5"/>
  <c r="D36" i="5"/>
  <c r="E37" i="5"/>
  <c r="E38" i="5"/>
  <c r="E39" i="5"/>
  <c r="E40" i="5"/>
  <c r="E36" i="5"/>
  <c r="H159" i="25" l="1"/>
  <c r="H160" i="25" s="1"/>
  <c r="G92" i="6"/>
  <c r="H92" i="6"/>
  <c r="I92" i="6"/>
  <c r="G94" i="6"/>
  <c r="I38" i="5" s="1"/>
  <c r="H94" i="6"/>
  <c r="I39" i="5" s="1"/>
  <c r="I94" i="6"/>
  <c r="I40" i="5" s="1"/>
  <c r="G97" i="6"/>
  <c r="H97" i="6"/>
  <c r="I97" i="6"/>
  <c r="G98" i="6"/>
  <c r="H98" i="6"/>
  <c r="I98" i="6"/>
  <c r="G99" i="6"/>
  <c r="J38" i="5" s="1"/>
  <c r="H99" i="6"/>
  <c r="J39" i="5" s="1"/>
  <c r="I99" i="6"/>
  <c r="J40" i="5" s="1"/>
  <c r="G100" i="6"/>
  <c r="K38" i="5" s="1"/>
  <c r="H100" i="6"/>
  <c r="K39" i="5" s="1"/>
  <c r="I100" i="6"/>
  <c r="K40" i="5" s="1"/>
  <c r="G57" i="6"/>
  <c r="H57" i="6"/>
  <c r="I57" i="6"/>
  <c r="G58" i="6"/>
  <c r="H58" i="6"/>
  <c r="I58" i="6"/>
  <c r="F12" i="6"/>
  <c r="G12" i="6"/>
  <c r="H12" i="6"/>
  <c r="I12" i="6"/>
  <c r="F17" i="6"/>
  <c r="G17" i="6"/>
  <c r="H17" i="6"/>
  <c r="I17" i="6"/>
  <c r="F26" i="6"/>
  <c r="G26" i="6"/>
  <c r="H26" i="6"/>
  <c r="I26" i="6"/>
  <c r="F32" i="6"/>
  <c r="G32" i="6"/>
  <c r="H32" i="6"/>
  <c r="I32" i="6"/>
  <c r="G33" i="6"/>
  <c r="H33" i="6"/>
  <c r="I33" i="6"/>
  <c r="E26" i="6"/>
  <c r="E12" i="6"/>
  <c r="F88" i="24"/>
  <c r="G88" i="24"/>
  <c r="H88" i="24"/>
  <c r="F89" i="24"/>
  <c r="G89" i="24"/>
  <c r="H89" i="24"/>
  <c r="F94" i="24"/>
  <c r="G94" i="24"/>
  <c r="H94" i="24"/>
  <c r="F95" i="24"/>
  <c r="G95" i="24"/>
  <c r="H95" i="24"/>
  <c r="F101" i="24"/>
  <c r="G101" i="24"/>
  <c r="H101" i="24"/>
  <c r="F107" i="24"/>
  <c r="G107" i="24"/>
  <c r="H107" i="24"/>
  <c r="F113" i="24"/>
  <c r="G113" i="24"/>
  <c r="H113" i="24"/>
  <c r="G146" i="24"/>
  <c r="H146" i="24"/>
  <c r="H59" i="24"/>
  <c r="G59" i="24"/>
  <c r="F59" i="24"/>
  <c r="H37" i="24"/>
  <c r="G37" i="24"/>
  <c r="F37" i="24"/>
  <c r="H34" i="24"/>
  <c r="G34" i="24"/>
  <c r="F34" i="24"/>
  <c r="F62" i="6" l="1"/>
  <c r="F57" i="6"/>
  <c r="F33" i="6"/>
  <c r="H163" i="25"/>
  <c r="H164" i="25"/>
  <c r="H167" i="25"/>
  <c r="H168" i="25"/>
  <c r="H169" i="25" l="1"/>
  <c r="H171" i="25" s="1"/>
  <c r="I4" i="1"/>
  <c r="J4" i="1" s="1"/>
  <c r="I3" i="1"/>
  <c r="J3" i="1" s="1"/>
  <c r="E93" i="25" l="1"/>
  <c r="E96" i="25" s="1"/>
  <c r="H184" i="25"/>
  <c r="H190" i="25" s="1"/>
  <c r="H177" i="25"/>
  <c r="H20" i="5" s="1"/>
  <c r="H178" i="25"/>
  <c r="E39" i="25" l="1"/>
  <c r="E42" i="25"/>
  <c r="E35" i="25"/>
  <c r="E91" i="25"/>
  <c r="E114" i="25" s="1"/>
  <c r="H176" i="25"/>
  <c r="G20" i="5" s="1"/>
  <c r="H179" i="25"/>
  <c r="I20" i="5" s="1"/>
  <c r="I178" i="24"/>
  <c r="I177" i="24"/>
  <c r="I176" i="24"/>
  <c r="E46" i="25" l="1"/>
  <c r="E53" i="25" s="1"/>
  <c r="E56" i="25" s="1"/>
  <c r="F56" i="25" s="1"/>
  <c r="E146" i="25"/>
  <c r="E49" i="25"/>
  <c r="H15" i="1"/>
  <c r="H13" i="1"/>
  <c r="H11" i="1"/>
  <c r="F58" i="25" l="1"/>
  <c r="F61" i="25" s="1"/>
  <c r="F72" i="25" s="1"/>
  <c r="G56" i="25"/>
  <c r="G58" i="25" s="1"/>
  <c r="G61" i="25" s="1"/>
  <c r="E55" i="25"/>
  <c r="E58" i="25" s="1"/>
  <c r="E61" i="25" s="1"/>
  <c r="F93" i="24"/>
  <c r="F96" i="24" s="1"/>
  <c r="G93" i="24"/>
  <c r="G96" i="24" s="1"/>
  <c r="H93" i="24"/>
  <c r="H96" i="24" s="1"/>
  <c r="F75" i="25" l="1"/>
  <c r="F74" i="25"/>
  <c r="F76" i="25"/>
  <c r="F73" i="25"/>
  <c r="F77" i="25"/>
  <c r="G130" i="25"/>
  <c r="G73" i="25"/>
  <c r="G75" i="25"/>
  <c r="G74" i="25"/>
  <c r="G72" i="25"/>
  <c r="G76" i="25"/>
  <c r="G77" i="25"/>
  <c r="E72" i="25"/>
  <c r="E77" i="25"/>
  <c r="E76" i="25"/>
  <c r="E73" i="25"/>
  <c r="E74" i="25"/>
  <c r="E75" i="25"/>
  <c r="J37" i="8"/>
  <c r="J36" i="8"/>
  <c r="D55" i="6" l="1"/>
  <c r="F58" i="6" s="1"/>
  <c r="F63" i="6" s="1"/>
  <c r="I152" i="24" l="1"/>
  <c r="I17" i="24" l="1"/>
  <c r="N3" i="3" s="1"/>
  <c r="I20" i="24"/>
  <c r="I21" i="24"/>
  <c r="I22" i="24"/>
  <c r="I23" i="24"/>
  <c r="I24" i="24"/>
  <c r="I25" i="24"/>
  <c r="G81" i="6" l="1"/>
  <c r="H81" i="6"/>
  <c r="I81" i="6"/>
  <c r="G79" i="6"/>
  <c r="H79" i="6"/>
  <c r="I79" i="6"/>
  <c r="I93" i="6" l="1"/>
  <c r="H93" i="6"/>
  <c r="G93" i="6"/>
  <c r="H89" i="6" l="1"/>
  <c r="G89" i="6"/>
  <c r="I89" i="6"/>
  <c r="E27" i="5"/>
  <c r="D7" i="8" l="1"/>
  <c r="E20" i="24" l="1"/>
  <c r="F20" i="24"/>
  <c r="G44" i="24" l="1"/>
  <c r="G48" i="24" s="1"/>
  <c r="F44" i="24"/>
  <c r="F48" i="24" s="1"/>
  <c r="I151" i="24"/>
  <c r="E20" i="16"/>
  <c r="E21" i="16"/>
  <c r="E22" i="16"/>
  <c r="E23" i="16"/>
  <c r="E24" i="16"/>
  <c r="E25" i="16"/>
  <c r="E26" i="16"/>
  <c r="E27" i="16"/>
  <c r="E28" i="16"/>
  <c r="E3" i="16"/>
  <c r="E4" i="16"/>
  <c r="E5" i="16"/>
  <c r="E6" i="16"/>
  <c r="E7" i="16"/>
  <c r="E8" i="16"/>
  <c r="E9" i="16"/>
  <c r="E10" i="16"/>
  <c r="E11" i="16"/>
  <c r="E12" i="16"/>
  <c r="E13" i="16"/>
  <c r="E14" i="16"/>
  <c r="E15" i="16"/>
  <c r="E16" i="16"/>
  <c r="E17" i="16"/>
  <c r="E18" i="16"/>
  <c r="E19" i="16"/>
  <c r="E2" i="16"/>
  <c r="G45" i="24" l="1"/>
  <c r="F45" i="24"/>
  <c r="I166" i="24"/>
  <c r="I153" i="24"/>
  <c r="I146" i="24"/>
  <c r="I113" i="24"/>
  <c r="E113" i="24"/>
  <c r="I107" i="24"/>
  <c r="E107" i="24"/>
  <c r="D107" i="24"/>
  <c r="I101" i="24"/>
  <c r="E101" i="24"/>
  <c r="I95" i="24"/>
  <c r="E95" i="24"/>
  <c r="I94" i="24"/>
  <c r="E94" i="24"/>
  <c r="I93" i="24"/>
  <c r="I90" i="24"/>
  <c r="I89" i="24"/>
  <c r="E89" i="24"/>
  <c r="I88" i="24"/>
  <c r="E88" i="24"/>
  <c r="I87" i="24"/>
  <c r="I59" i="24"/>
  <c r="E59" i="24"/>
  <c r="E44" i="24"/>
  <c r="E48" i="24" s="1"/>
  <c r="I38" i="24"/>
  <c r="I37" i="24"/>
  <c r="E37" i="24"/>
  <c r="I34" i="24"/>
  <c r="E34" i="24"/>
  <c r="I29" i="24"/>
  <c r="I28" i="24"/>
  <c r="H25" i="24"/>
  <c r="G25" i="24"/>
  <c r="F25" i="24"/>
  <c r="E25" i="24"/>
  <c r="H24" i="24"/>
  <c r="G24" i="24"/>
  <c r="F24" i="24"/>
  <c r="E24" i="24"/>
  <c r="H23" i="24"/>
  <c r="G23" i="24"/>
  <c r="F23" i="24"/>
  <c r="E23" i="24"/>
  <c r="H22" i="24"/>
  <c r="G22" i="24"/>
  <c r="F22" i="24"/>
  <c r="E22" i="24"/>
  <c r="H21" i="24"/>
  <c r="G21" i="24"/>
  <c r="F21" i="24"/>
  <c r="E21" i="24"/>
  <c r="I44" i="24"/>
  <c r="I48" i="24" s="1"/>
  <c r="H20" i="24"/>
  <c r="A2" i="24"/>
  <c r="E32" i="24" l="1"/>
  <c r="E91" i="24" s="1"/>
  <c r="H44" i="24"/>
  <c r="H48" i="24" s="1"/>
  <c r="H32" i="24"/>
  <c r="H100" i="24"/>
  <c r="H106" i="24"/>
  <c r="H57" i="24"/>
  <c r="E100" i="24"/>
  <c r="E106" i="24"/>
  <c r="E57" i="24"/>
  <c r="F100" i="24"/>
  <c r="F106" i="24"/>
  <c r="F32" i="24"/>
  <c r="F91" i="24" s="1"/>
  <c r="F57" i="24"/>
  <c r="G100" i="24"/>
  <c r="G32" i="24"/>
  <c r="G91" i="24" s="1"/>
  <c r="G106" i="24"/>
  <c r="G57" i="24"/>
  <c r="I183" i="24"/>
  <c r="I189" i="24" s="1"/>
  <c r="I179" i="24"/>
  <c r="I32" i="24"/>
  <c r="I91" i="24" s="1"/>
  <c r="I114" i="24" s="1"/>
  <c r="I57" i="24"/>
  <c r="I96" i="24"/>
  <c r="I100" i="24"/>
  <c r="I106" i="24"/>
  <c r="E45" i="24"/>
  <c r="I45" i="24"/>
  <c r="H39" i="24" l="1"/>
  <c r="H91" i="24"/>
  <c r="H114" i="24" s="1"/>
  <c r="H45" i="24"/>
  <c r="E39" i="24"/>
  <c r="G39" i="24"/>
  <c r="F39" i="24"/>
  <c r="F114" i="24"/>
  <c r="F35" i="24"/>
  <c r="F42" i="24"/>
  <c r="G42" i="24"/>
  <c r="G35" i="24"/>
  <c r="G114" i="24"/>
  <c r="E35" i="24"/>
  <c r="E42" i="24"/>
  <c r="H35" i="24"/>
  <c r="H42" i="24"/>
  <c r="I39" i="24"/>
  <c r="I35" i="24"/>
  <c r="I42" i="24"/>
  <c r="H49" i="24" l="1"/>
  <c r="E46" i="24"/>
  <c r="E53" i="24" s="1"/>
  <c r="E56" i="24" s="1"/>
  <c r="G49" i="24"/>
  <c r="F46" i="24"/>
  <c r="G46" i="24"/>
  <c r="F49" i="24"/>
  <c r="E49" i="24"/>
  <c r="H46" i="24"/>
  <c r="H53" i="24" s="1"/>
  <c r="I49" i="24"/>
  <c r="I46" i="24"/>
  <c r="E55" i="24" l="1"/>
  <c r="G55" i="24"/>
  <c r="F55" i="24"/>
  <c r="H55" i="24"/>
  <c r="F53" i="24"/>
  <c r="F56" i="24" s="1"/>
  <c r="G53" i="24"/>
  <c r="I53" i="24"/>
  <c r="I56" i="24" s="1"/>
  <c r="I55" i="24"/>
  <c r="F58" i="24" l="1"/>
  <c r="F61" i="24" s="1"/>
  <c r="G56" i="24"/>
  <c r="H56" i="24" s="1"/>
  <c r="H58" i="24" s="1"/>
  <c r="H61" i="24" s="1"/>
  <c r="I58" i="24"/>
  <c r="I61" i="24" s="1"/>
  <c r="G58" i="24" l="1"/>
  <c r="G61" i="24" s="1"/>
  <c r="I130" i="24"/>
  <c r="G34" i="6" l="1"/>
  <c r="H34" i="6"/>
  <c r="I34" i="6"/>
  <c r="G40" i="5" l="1"/>
  <c r="I86" i="6"/>
  <c r="H40" i="5" s="1"/>
  <c r="G39" i="5"/>
  <c r="H86" i="6"/>
  <c r="H39" i="5" s="1"/>
  <c r="G38" i="5"/>
  <c r="G86" i="6"/>
  <c r="H38" i="5" s="1"/>
  <c r="F34" i="6"/>
  <c r="F92" i="6" s="1"/>
  <c r="F97" i="6" l="1"/>
  <c r="I108" i="8" l="1"/>
  <c r="I107" i="8"/>
  <c r="H104" i="8"/>
  <c r="H103" i="8"/>
  <c r="H102" i="8"/>
  <c r="H101" i="8"/>
  <c r="I85" i="8"/>
  <c r="I86" i="8"/>
  <c r="I87" i="8"/>
  <c r="I88" i="8"/>
  <c r="I89" i="8"/>
  <c r="I90" i="8"/>
  <c r="I92" i="8"/>
  <c r="I93" i="8"/>
  <c r="I94" i="8"/>
  <c r="I84" i="8"/>
  <c r="H96" i="8"/>
  <c r="H95" i="8"/>
  <c r="H91" i="8"/>
  <c r="Q91" i="8" s="1"/>
  <c r="I79" i="8"/>
  <c r="I71" i="8"/>
  <c r="I70" i="8"/>
  <c r="I69" i="8"/>
  <c r="I68" i="8"/>
  <c r="I67" i="8"/>
  <c r="I66" i="8"/>
  <c r="H47" i="8"/>
  <c r="Q47" i="8" s="1"/>
  <c r="D137" i="25" l="1"/>
  <c r="D138" i="25"/>
  <c r="D69" i="6"/>
  <c r="D82" i="25"/>
  <c r="D124" i="25"/>
  <c r="D68" i="6"/>
  <c r="F68" i="6" s="1"/>
  <c r="F70" i="6" s="1"/>
  <c r="K87" i="8"/>
  <c r="L87" i="8" s="1"/>
  <c r="M87" i="8" s="1"/>
  <c r="N87" i="8" s="1"/>
  <c r="O87" i="8" s="1"/>
  <c r="P87" i="8" s="1"/>
  <c r="J87" i="8"/>
  <c r="I101" i="8"/>
  <c r="Q101" i="8"/>
  <c r="D131" i="25" s="1"/>
  <c r="I75" i="8"/>
  <c r="Q75" i="8"/>
  <c r="D120" i="25" s="1"/>
  <c r="K79" i="8"/>
  <c r="L79" i="8" s="1"/>
  <c r="M79" i="8" s="1"/>
  <c r="N79" i="8" s="1"/>
  <c r="O79" i="8" s="1"/>
  <c r="P79" i="8" s="1"/>
  <c r="J79" i="8"/>
  <c r="I102" i="8"/>
  <c r="Q102" i="8"/>
  <c r="D132" i="25" s="1"/>
  <c r="K85" i="8"/>
  <c r="L85" i="8" s="1"/>
  <c r="M85" i="8" s="1"/>
  <c r="N85" i="8" s="1"/>
  <c r="O85" i="8" s="1"/>
  <c r="P85" i="8" s="1"/>
  <c r="J85" i="8"/>
  <c r="I96" i="8"/>
  <c r="Q96" i="8"/>
  <c r="I103" i="8"/>
  <c r="Q103" i="8"/>
  <c r="D133" i="25" s="1"/>
  <c r="K88" i="8"/>
  <c r="L88" i="8" s="1"/>
  <c r="M88" i="8" s="1"/>
  <c r="N88" i="8" s="1"/>
  <c r="O88" i="8" s="1"/>
  <c r="P88" i="8" s="1"/>
  <c r="J88" i="8"/>
  <c r="I100" i="8"/>
  <c r="Q100" i="8"/>
  <c r="D130" i="25" s="1"/>
  <c r="K67" i="8"/>
  <c r="L67" i="8" s="1"/>
  <c r="M67" i="8" s="1"/>
  <c r="N67" i="8" s="1"/>
  <c r="O67" i="8" s="1"/>
  <c r="P67" i="8" s="1"/>
  <c r="J67" i="8"/>
  <c r="K69" i="8"/>
  <c r="L69" i="8" s="1"/>
  <c r="M69" i="8" s="1"/>
  <c r="N69" i="8" s="1"/>
  <c r="O69" i="8" s="1"/>
  <c r="P69" i="8" s="1"/>
  <c r="J69" i="8"/>
  <c r="K93" i="8"/>
  <c r="L93" i="8" s="1"/>
  <c r="M93" i="8" s="1"/>
  <c r="N93" i="8" s="1"/>
  <c r="O93" i="8" s="1"/>
  <c r="P93" i="8" s="1"/>
  <c r="J93" i="8"/>
  <c r="I104" i="8"/>
  <c r="Q104" i="8"/>
  <c r="D134" i="25" s="1"/>
  <c r="I77" i="8"/>
  <c r="Q77" i="8"/>
  <c r="D122" i="25" s="1"/>
  <c r="K86" i="8"/>
  <c r="L86" i="8" s="1"/>
  <c r="M86" i="8" s="1"/>
  <c r="N86" i="8" s="1"/>
  <c r="O86" i="8" s="1"/>
  <c r="P86" i="8" s="1"/>
  <c r="J86" i="8"/>
  <c r="I95" i="8"/>
  <c r="Q95" i="8"/>
  <c r="K84" i="8"/>
  <c r="L84" i="8" s="1"/>
  <c r="M84" i="8" s="1"/>
  <c r="N84" i="8" s="1"/>
  <c r="O84" i="8" s="1"/>
  <c r="P84" i="8" s="1"/>
  <c r="J84" i="8"/>
  <c r="K68" i="8"/>
  <c r="L68" i="8" s="1"/>
  <c r="M68" i="8" s="1"/>
  <c r="N68" i="8" s="1"/>
  <c r="O68" i="8" s="1"/>
  <c r="P68" i="8" s="1"/>
  <c r="J68" i="8"/>
  <c r="K92" i="8"/>
  <c r="L92" i="8" s="1"/>
  <c r="M92" i="8" s="1"/>
  <c r="N92" i="8" s="1"/>
  <c r="O92" i="8" s="1"/>
  <c r="P92" i="8" s="1"/>
  <c r="J92" i="8"/>
  <c r="K107" i="8"/>
  <c r="L107" i="8" s="1"/>
  <c r="M107" i="8" s="1"/>
  <c r="N107" i="8" s="1"/>
  <c r="O107" i="8" s="1"/>
  <c r="P107" i="8" s="1"/>
  <c r="J107" i="8"/>
  <c r="K66" i="8"/>
  <c r="L66" i="8" s="1"/>
  <c r="M66" i="8" s="1"/>
  <c r="N66" i="8" s="1"/>
  <c r="O66" i="8" s="1"/>
  <c r="P66" i="8" s="1"/>
  <c r="J66" i="8"/>
  <c r="K94" i="8"/>
  <c r="L94" i="8" s="1"/>
  <c r="M94" i="8" s="1"/>
  <c r="N94" i="8" s="1"/>
  <c r="O94" i="8" s="1"/>
  <c r="P94" i="8" s="1"/>
  <c r="J94" i="8"/>
  <c r="K70" i="8"/>
  <c r="L70" i="8" s="1"/>
  <c r="M70" i="8" s="1"/>
  <c r="N70" i="8" s="1"/>
  <c r="O70" i="8" s="1"/>
  <c r="P70" i="8" s="1"/>
  <c r="J70" i="8"/>
  <c r="K71" i="8"/>
  <c r="L71" i="8" s="1"/>
  <c r="M71" i="8" s="1"/>
  <c r="N71" i="8" s="1"/>
  <c r="O71" i="8" s="1"/>
  <c r="P71" i="8" s="1"/>
  <c r="J71" i="8"/>
  <c r="K90" i="8"/>
  <c r="L90" i="8" s="1"/>
  <c r="M90" i="8" s="1"/>
  <c r="N90" i="8" s="1"/>
  <c r="O90" i="8" s="1"/>
  <c r="P90" i="8" s="1"/>
  <c r="J90" i="8"/>
  <c r="K108" i="8"/>
  <c r="L108" i="8" s="1"/>
  <c r="M108" i="8" s="1"/>
  <c r="N108" i="8" s="1"/>
  <c r="O108" i="8" s="1"/>
  <c r="P108" i="8" s="1"/>
  <c r="J108" i="8"/>
  <c r="Q74" i="8"/>
  <c r="D119" i="25" s="1"/>
  <c r="K89" i="8"/>
  <c r="L89" i="8" s="1"/>
  <c r="M89" i="8" s="1"/>
  <c r="N89" i="8" s="1"/>
  <c r="O89" i="8" s="1"/>
  <c r="P89" i="8" s="1"/>
  <c r="J89" i="8"/>
  <c r="I74" i="8"/>
  <c r="I91" i="8"/>
  <c r="H97" i="8"/>
  <c r="Q97" i="8" s="1"/>
  <c r="E130" i="25" l="1"/>
  <c r="F130" i="25"/>
  <c r="W119" i="25"/>
  <c r="X119" i="25"/>
  <c r="P119" i="25"/>
  <c r="Q119" i="25"/>
  <c r="R119" i="25"/>
  <c r="T119" i="25"/>
  <c r="S119" i="25"/>
  <c r="V119" i="25"/>
  <c r="U119" i="25"/>
  <c r="O119" i="25"/>
  <c r="W120" i="25"/>
  <c r="U120" i="25"/>
  <c r="V120" i="25"/>
  <c r="P120" i="25"/>
  <c r="R120" i="25"/>
  <c r="X120" i="25"/>
  <c r="O120" i="25"/>
  <c r="S120" i="25"/>
  <c r="T120" i="25"/>
  <c r="Q120" i="25"/>
  <c r="E122" i="25"/>
  <c r="U122" i="25"/>
  <c r="R122" i="25"/>
  <c r="T122" i="25"/>
  <c r="P122" i="25"/>
  <c r="V122" i="25"/>
  <c r="X122" i="25"/>
  <c r="W122" i="25"/>
  <c r="S122" i="25"/>
  <c r="Q122" i="25"/>
  <c r="O122" i="25"/>
  <c r="O137" i="25"/>
  <c r="P137" i="25"/>
  <c r="S137" i="25"/>
  <c r="Q137" i="25"/>
  <c r="W137" i="25"/>
  <c r="X137" i="25"/>
  <c r="T137" i="25"/>
  <c r="R137" i="25"/>
  <c r="V137" i="25"/>
  <c r="U137" i="25"/>
  <c r="Q124" i="25"/>
  <c r="O124" i="25"/>
  <c r="R124" i="25"/>
  <c r="V124" i="25"/>
  <c r="U124" i="25"/>
  <c r="X124" i="25"/>
  <c r="W124" i="25"/>
  <c r="T124" i="25"/>
  <c r="P124" i="25"/>
  <c r="S124" i="25"/>
  <c r="T82" i="25"/>
  <c r="U82" i="25"/>
  <c r="X82" i="25"/>
  <c r="V82" i="25"/>
  <c r="W82" i="25"/>
  <c r="R82" i="25"/>
  <c r="O82" i="25"/>
  <c r="Q82" i="25"/>
  <c r="P82" i="25"/>
  <c r="S82" i="25"/>
  <c r="F73" i="6"/>
  <c r="F74" i="6"/>
  <c r="F77" i="6"/>
  <c r="F78" i="6"/>
  <c r="I124" i="25"/>
  <c r="K124" i="25"/>
  <c r="J124" i="25"/>
  <c r="N124" i="25"/>
  <c r="F124" i="25"/>
  <c r="E124" i="25"/>
  <c r="G124" i="25"/>
  <c r="H124" i="25"/>
  <c r="L124" i="25"/>
  <c r="M124" i="25"/>
  <c r="N82" i="25"/>
  <c r="K82" i="25"/>
  <c r="F82" i="25"/>
  <c r="E82" i="25"/>
  <c r="G82" i="25"/>
  <c r="H82" i="25"/>
  <c r="L82" i="25"/>
  <c r="I82" i="25"/>
  <c r="M82" i="25"/>
  <c r="J82" i="25"/>
  <c r="I137" i="25"/>
  <c r="N137" i="25"/>
  <c r="M137" i="25"/>
  <c r="K137" i="25"/>
  <c r="F137" i="25"/>
  <c r="E137" i="25"/>
  <c r="G137" i="25"/>
  <c r="L137" i="25"/>
  <c r="J137" i="25"/>
  <c r="H137" i="25"/>
  <c r="I119" i="25"/>
  <c r="M119" i="25"/>
  <c r="J119" i="25"/>
  <c r="N119" i="25"/>
  <c r="K119" i="25"/>
  <c r="L119" i="25"/>
  <c r="F119" i="25"/>
  <c r="E119" i="25"/>
  <c r="G119" i="25"/>
  <c r="H119" i="25"/>
  <c r="I122" i="25"/>
  <c r="K122" i="25"/>
  <c r="L122" i="25"/>
  <c r="M122" i="25"/>
  <c r="N122" i="25"/>
  <c r="J122" i="25"/>
  <c r="F122" i="25"/>
  <c r="H122" i="25"/>
  <c r="G122" i="25"/>
  <c r="L120" i="25"/>
  <c r="M120" i="25"/>
  <c r="I120" i="25"/>
  <c r="K120" i="25"/>
  <c r="J120" i="25"/>
  <c r="N120" i="25"/>
  <c r="E120" i="25"/>
  <c r="F120" i="25"/>
  <c r="G120" i="25"/>
  <c r="H120" i="25"/>
  <c r="K91" i="8"/>
  <c r="L91" i="8" s="1"/>
  <c r="M91" i="8" s="1"/>
  <c r="N91" i="8" s="1"/>
  <c r="O91" i="8" s="1"/>
  <c r="P91" i="8" s="1"/>
  <c r="J91" i="8"/>
  <c r="K95" i="8"/>
  <c r="L95" i="8" s="1"/>
  <c r="M95" i="8" s="1"/>
  <c r="N95" i="8" s="1"/>
  <c r="O95" i="8" s="1"/>
  <c r="P95" i="8" s="1"/>
  <c r="J95" i="8"/>
  <c r="K102" i="8"/>
  <c r="L102" i="8" s="1"/>
  <c r="M102" i="8" s="1"/>
  <c r="N102" i="8" s="1"/>
  <c r="O102" i="8" s="1"/>
  <c r="P102" i="8" s="1"/>
  <c r="J102" i="8"/>
  <c r="K100" i="8"/>
  <c r="L100" i="8" s="1"/>
  <c r="M100" i="8" s="1"/>
  <c r="N100" i="8" s="1"/>
  <c r="O100" i="8" s="1"/>
  <c r="P100" i="8" s="1"/>
  <c r="J100" i="8"/>
  <c r="K77" i="8"/>
  <c r="J77" i="8"/>
  <c r="K75" i="8"/>
  <c r="L75" i="8" s="1"/>
  <c r="M75" i="8" s="1"/>
  <c r="N75" i="8" s="1"/>
  <c r="O75" i="8" s="1"/>
  <c r="P75" i="8" s="1"/>
  <c r="J75" i="8"/>
  <c r="K74" i="8"/>
  <c r="L74" i="8" s="1"/>
  <c r="M74" i="8" s="1"/>
  <c r="N74" i="8" s="1"/>
  <c r="O74" i="8" s="1"/>
  <c r="P74" i="8" s="1"/>
  <c r="J74" i="8"/>
  <c r="K104" i="8"/>
  <c r="L104" i="8" s="1"/>
  <c r="M104" i="8" s="1"/>
  <c r="N104" i="8" s="1"/>
  <c r="O104" i="8" s="1"/>
  <c r="P104" i="8" s="1"/>
  <c r="J104" i="8"/>
  <c r="K103" i="8"/>
  <c r="L103" i="8" s="1"/>
  <c r="M103" i="8" s="1"/>
  <c r="N103" i="8" s="1"/>
  <c r="O103" i="8" s="1"/>
  <c r="P103" i="8" s="1"/>
  <c r="J103" i="8"/>
  <c r="K101" i="8"/>
  <c r="L101" i="8" s="1"/>
  <c r="M101" i="8" s="1"/>
  <c r="N101" i="8" s="1"/>
  <c r="O101" i="8" s="1"/>
  <c r="P101" i="8" s="1"/>
  <c r="J101" i="8"/>
  <c r="I76" i="8"/>
  <c r="Q76" i="8"/>
  <c r="D121" i="25" s="1"/>
  <c r="K96" i="8"/>
  <c r="L96" i="8" s="1"/>
  <c r="M96" i="8" s="1"/>
  <c r="N96" i="8" s="1"/>
  <c r="O96" i="8" s="1"/>
  <c r="P96" i="8" s="1"/>
  <c r="J96" i="8"/>
  <c r="H105" i="8"/>
  <c r="Q105" i="8" s="1"/>
  <c r="D135" i="25" s="1"/>
  <c r="I97" i="8"/>
  <c r="U121" i="25" l="1"/>
  <c r="W121" i="25"/>
  <c r="X121" i="25"/>
  <c r="Q121" i="25"/>
  <c r="P121" i="25"/>
  <c r="T121" i="25"/>
  <c r="R121" i="25"/>
  <c r="O121" i="25"/>
  <c r="S121" i="25"/>
  <c r="V121" i="25"/>
  <c r="L77" i="8"/>
  <c r="K121" i="25"/>
  <c r="L121" i="25"/>
  <c r="I121" i="25"/>
  <c r="M121" i="25"/>
  <c r="J121" i="25"/>
  <c r="N121" i="25"/>
  <c r="F121" i="25"/>
  <c r="E121" i="25"/>
  <c r="G121" i="25"/>
  <c r="H121" i="25"/>
  <c r="K97" i="8"/>
  <c r="L97" i="8" s="1"/>
  <c r="M97" i="8" s="1"/>
  <c r="N97" i="8" s="1"/>
  <c r="O97" i="8" s="1"/>
  <c r="P97" i="8" s="1"/>
  <c r="J97" i="8"/>
  <c r="K76" i="8"/>
  <c r="L76" i="8" s="1"/>
  <c r="M76" i="8" s="1"/>
  <c r="N76" i="8" s="1"/>
  <c r="O76" i="8" s="1"/>
  <c r="P76" i="8" s="1"/>
  <c r="J76" i="8"/>
  <c r="I105" i="8"/>
  <c r="M77" i="8" l="1"/>
  <c r="K105" i="8"/>
  <c r="L105" i="8" s="1"/>
  <c r="M105" i="8" s="1"/>
  <c r="N105" i="8" s="1"/>
  <c r="O105" i="8" s="1"/>
  <c r="P105" i="8" s="1"/>
  <c r="J105" i="8"/>
  <c r="N77" i="8" l="1"/>
  <c r="F27" i="5"/>
  <c r="O77" i="8" l="1"/>
  <c r="I142" i="8"/>
  <c r="P77" i="8" l="1"/>
  <c r="K142" i="8"/>
  <c r="L142" i="8" s="1"/>
  <c r="M142" i="8" s="1"/>
  <c r="N142" i="8" s="1"/>
  <c r="O142" i="8" s="1"/>
  <c r="P142" i="8" s="1"/>
  <c r="J142" i="8"/>
  <c r="I143" i="8"/>
  <c r="K143" i="8" l="1"/>
  <c r="L143" i="8" s="1"/>
  <c r="M143" i="8" s="1"/>
  <c r="N143" i="8" s="1"/>
  <c r="O143" i="8" s="1"/>
  <c r="P143" i="8" s="1"/>
  <c r="J143" i="8"/>
  <c r="E93" i="24"/>
  <c r="E96" i="24" s="1"/>
  <c r="O37" i="8"/>
  <c r="N37" i="8"/>
  <c r="M37" i="8"/>
  <c r="L37" i="8"/>
  <c r="P148" i="8"/>
  <c r="O148" i="8"/>
  <c r="N148" i="8"/>
  <c r="M148" i="8"/>
  <c r="L148" i="8"/>
  <c r="P147" i="8"/>
  <c r="O147" i="8"/>
  <c r="N147" i="8"/>
  <c r="M147" i="8"/>
  <c r="L147" i="8"/>
  <c r="N146" i="8"/>
  <c r="M146" i="8"/>
  <c r="L146" i="8"/>
  <c r="O146" i="8"/>
  <c r="K148" i="8"/>
  <c r="Q148" i="8" s="1"/>
  <c r="K147" i="8"/>
  <c r="Q147" i="8" s="1"/>
  <c r="K146" i="8"/>
  <c r="D164" i="25" l="1"/>
  <c r="D74" i="6" s="1"/>
  <c r="Q146" i="8"/>
  <c r="E114" i="24"/>
  <c r="D163" i="25" l="1"/>
  <c r="D73" i="6" s="1"/>
  <c r="H37" i="8"/>
  <c r="Q37" i="8" s="1"/>
  <c r="D67" i="25" s="1"/>
  <c r="R67" i="25" l="1"/>
  <c r="R135" i="25" s="1"/>
  <c r="S67" i="25"/>
  <c r="S135" i="25" s="1"/>
  <c r="U67" i="25"/>
  <c r="U135" i="25" s="1"/>
  <c r="W67" i="25"/>
  <c r="W135" i="25" s="1"/>
  <c r="X67" i="25"/>
  <c r="Q67" i="25"/>
  <c r="Q135" i="25" s="1"/>
  <c r="T67" i="25"/>
  <c r="T135" i="25" s="1"/>
  <c r="O67" i="25"/>
  <c r="O135" i="25" s="1"/>
  <c r="P67" i="25"/>
  <c r="P135" i="25" s="1"/>
  <c r="V67" i="25"/>
  <c r="V135" i="25" s="1"/>
  <c r="L67" i="25"/>
  <c r="L135" i="25" s="1"/>
  <c r="I67" i="25"/>
  <c r="I135" i="25" s="1"/>
  <c r="M67" i="25"/>
  <c r="M135" i="25" s="1"/>
  <c r="J67" i="25"/>
  <c r="J135" i="25" s="1"/>
  <c r="N67" i="25"/>
  <c r="N135" i="25" s="1"/>
  <c r="K67" i="25"/>
  <c r="K135" i="25" s="1"/>
  <c r="F67" i="25"/>
  <c r="F135" i="25" s="1"/>
  <c r="E67" i="25"/>
  <c r="E135" i="25" s="1"/>
  <c r="G67" i="25"/>
  <c r="G135" i="25" s="1"/>
  <c r="H67" i="25"/>
  <c r="H135" i="25" s="1"/>
  <c r="E58" i="24"/>
  <c r="E61" i="24" s="1"/>
  <c r="I37" i="8"/>
  <c r="I36" i="8"/>
  <c r="H36" i="8"/>
  <c r="Q36" i="8" s="1"/>
  <c r="D66" i="25" s="1"/>
  <c r="X66" i="25" l="1"/>
  <c r="Q66" i="25"/>
  <c r="R66" i="25"/>
  <c r="V66" i="25"/>
  <c r="U66" i="25"/>
  <c r="O66" i="25"/>
  <c r="S66" i="25"/>
  <c r="T66" i="25"/>
  <c r="P66" i="25"/>
  <c r="W66" i="25"/>
  <c r="X135" i="25"/>
  <c r="L66" i="25"/>
  <c r="K66" i="25"/>
  <c r="I66" i="25"/>
  <c r="J66" i="25"/>
  <c r="N66" i="25"/>
  <c r="M66" i="25"/>
  <c r="E66" i="25"/>
  <c r="F66" i="25"/>
  <c r="G66" i="25"/>
  <c r="H66" i="25"/>
  <c r="I49" i="8"/>
  <c r="I48" i="8"/>
  <c r="J48" i="8" s="1"/>
  <c r="S134" i="25" l="1"/>
  <c r="S133" i="25"/>
  <c r="S132" i="25"/>
  <c r="S131" i="25"/>
  <c r="W131" i="25"/>
  <c r="W134" i="25"/>
  <c r="W132" i="25"/>
  <c r="W133" i="25"/>
  <c r="O133" i="25"/>
  <c r="O132" i="25"/>
  <c r="O131" i="25"/>
  <c r="O134" i="25"/>
  <c r="U131" i="25"/>
  <c r="U133" i="25"/>
  <c r="U134" i="25"/>
  <c r="U132" i="25"/>
  <c r="V134" i="25"/>
  <c r="V131" i="25"/>
  <c r="V133" i="25"/>
  <c r="V132" i="25"/>
  <c r="P132" i="25"/>
  <c r="P133" i="25"/>
  <c r="P134" i="25"/>
  <c r="P131" i="25"/>
  <c r="R131" i="25"/>
  <c r="R133" i="25"/>
  <c r="R134" i="25"/>
  <c r="R132" i="25"/>
  <c r="T132" i="25"/>
  <c r="T133" i="25"/>
  <c r="T134" i="25"/>
  <c r="T131" i="25"/>
  <c r="Q134" i="25"/>
  <c r="Q133" i="25"/>
  <c r="Q131" i="25"/>
  <c r="Q132" i="25"/>
  <c r="X132" i="25"/>
  <c r="X131" i="25"/>
  <c r="X134" i="25"/>
  <c r="X133" i="25"/>
  <c r="I133" i="25"/>
  <c r="I132" i="25"/>
  <c r="I134" i="25"/>
  <c r="I131" i="25"/>
  <c r="E133" i="25"/>
  <c r="E134" i="25"/>
  <c r="E132" i="25"/>
  <c r="E131" i="25"/>
  <c r="K131" i="25"/>
  <c r="K132" i="25"/>
  <c r="K133" i="25"/>
  <c r="K134" i="25"/>
  <c r="F132" i="25"/>
  <c r="F133" i="25"/>
  <c r="F134" i="25"/>
  <c r="F131" i="25"/>
  <c r="J131" i="25"/>
  <c r="J134" i="25"/>
  <c r="J132" i="25"/>
  <c r="J133" i="25"/>
  <c r="H134" i="25"/>
  <c r="H131" i="25"/>
  <c r="H132" i="25"/>
  <c r="H133" i="25"/>
  <c r="M131" i="25"/>
  <c r="M134" i="25"/>
  <c r="M132" i="25"/>
  <c r="M133" i="25"/>
  <c r="G132" i="25"/>
  <c r="G131" i="25"/>
  <c r="G133" i="25"/>
  <c r="G134" i="25"/>
  <c r="N131" i="25"/>
  <c r="N132" i="25"/>
  <c r="N133" i="25"/>
  <c r="N134" i="25"/>
  <c r="L132" i="25"/>
  <c r="L134" i="25"/>
  <c r="L133" i="25"/>
  <c r="L131" i="25"/>
  <c r="K49" i="8"/>
  <c r="L49" i="8" s="1"/>
  <c r="M49" i="8" s="1"/>
  <c r="N49" i="8" s="1"/>
  <c r="O49" i="8" s="1"/>
  <c r="P49" i="8" s="1"/>
  <c r="D80" i="25" s="1"/>
  <c r="J49" i="8"/>
  <c r="J47" i="8" s="1"/>
  <c r="K48" i="8"/>
  <c r="I47" i="8"/>
  <c r="H51" i="8"/>
  <c r="G136" i="25" l="1"/>
  <c r="K47" i="8"/>
  <c r="K51" i="8" s="1"/>
  <c r="K106" i="8"/>
  <c r="K78" i="8"/>
  <c r="H106" i="8"/>
  <c r="H78" i="8"/>
  <c r="Q106" i="8"/>
  <c r="Q51" i="8"/>
  <c r="J51" i="8"/>
  <c r="H38" i="8"/>
  <c r="Q38" i="8" s="1"/>
  <c r="D68" i="25" s="1"/>
  <c r="L48" i="8"/>
  <c r="L47" i="8" s="1"/>
  <c r="J38" i="8" l="1"/>
  <c r="J106" i="8"/>
  <c r="J78" i="8"/>
  <c r="U68" i="25"/>
  <c r="U69" i="25" s="1"/>
  <c r="R68" i="25"/>
  <c r="R69" i="25" s="1"/>
  <c r="V68" i="25"/>
  <c r="V69" i="25" s="1"/>
  <c r="X68" i="25"/>
  <c r="X69" i="25" s="1"/>
  <c r="W68" i="25"/>
  <c r="W69" i="25" s="1"/>
  <c r="P68" i="25"/>
  <c r="P69" i="25" s="1"/>
  <c r="T68" i="25"/>
  <c r="T69" i="25" s="1"/>
  <c r="O68" i="25"/>
  <c r="O69" i="25" s="1"/>
  <c r="S68" i="25"/>
  <c r="S69" i="25" s="1"/>
  <c r="Q68" i="25"/>
  <c r="Q69" i="25" s="1"/>
  <c r="L68" i="25"/>
  <c r="L69" i="25" s="1"/>
  <c r="K68" i="25"/>
  <c r="K69" i="25" s="1"/>
  <c r="J68" i="25"/>
  <c r="J69" i="25" s="1"/>
  <c r="M68" i="25"/>
  <c r="M69" i="25" s="1"/>
  <c r="N68" i="25"/>
  <c r="N69" i="25" s="1"/>
  <c r="I68" i="25"/>
  <c r="I69" i="25" s="1"/>
  <c r="F68" i="25"/>
  <c r="F69" i="25" s="1"/>
  <c r="E68" i="25"/>
  <c r="E69" i="25" s="1"/>
  <c r="H68" i="25"/>
  <c r="H69" i="25" s="1"/>
  <c r="G68" i="25"/>
  <c r="G69" i="25" s="1"/>
  <c r="Q78" i="8"/>
  <c r="M48" i="8"/>
  <c r="M47" i="8" s="1"/>
  <c r="L51" i="8"/>
  <c r="L106" i="8" l="1"/>
  <c r="L78" i="8"/>
  <c r="D123" i="25"/>
  <c r="D123" i="24"/>
  <c r="L38" i="8"/>
  <c r="N48" i="8"/>
  <c r="N47" i="8" s="1"/>
  <c r="M51" i="8"/>
  <c r="M106" i="8" l="1"/>
  <c r="M78" i="8"/>
  <c r="J123" i="25"/>
  <c r="J125" i="25" s="1"/>
  <c r="J138" i="25" s="1"/>
  <c r="J139" i="25" s="1"/>
  <c r="J148" i="25" s="1"/>
  <c r="T123" i="25"/>
  <c r="T125" i="25" s="1"/>
  <c r="T138" i="25" s="1"/>
  <c r="T139" i="25" s="1"/>
  <c r="T148" i="25" s="1"/>
  <c r="T182" i="25" s="1"/>
  <c r="U123" i="25"/>
  <c r="U125" i="25" s="1"/>
  <c r="U138" i="25" s="1"/>
  <c r="U139" i="25" s="1"/>
  <c r="U148" i="25" s="1"/>
  <c r="U182" i="25" s="1"/>
  <c r="X123" i="25"/>
  <c r="X125" i="25" s="1"/>
  <c r="X138" i="25" s="1"/>
  <c r="X139" i="25" s="1"/>
  <c r="X148" i="25" s="1"/>
  <c r="X182" i="25" s="1"/>
  <c r="V123" i="25"/>
  <c r="V125" i="25" s="1"/>
  <c r="V138" i="25" s="1"/>
  <c r="V139" i="25" s="1"/>
  <c r="V148" i="25" s="1"/>
  <c r="V182" i="25" s="1"/>
  <c r="W123" i="25"/>
  <c r="W125" i="25" s="1"/>
  <c r="W138" i="25" s="1"/>
  <c r="W139" i="25" s="1"/>
  <c r="W148" i="25" s="1"/>
  <c r="W182" i="25" s="1"/>
  <c r="R123" i="25"/>
  <c r="R125" i="25" s="1"/>
  <c r="P123" i="25"/>
  <c r="P125" i="25" s="1"/>
  <c r="P138" i="25" s="1"/>
  <c r="P139" i="25" s="1"/>
  <c r="P148" i="25" s="1"/>
  <c r="P182" i="25" s="1"/>
  <c r="S123" i="25"/>
  <c r="S125" i="25" s="1"/>
  <c r="S138" i="25" s="1"/>
  <c r="S139" i="25" s="1"/>
  <c r="S148" i="25" s="1"/>
  <c r="S182" i="25" s="1"/>
  <c r="Q123" i="25"/>
  <c r="Q125" i="25" s="1"/>
  <c r="Q138" i="25" s="1"/>
  <c r="Q139" i="25" s="1"/>
  <c r="Q148" i="25" s="1"/>
  <c r="Q182" i="25" s="1"/>
  <c r="O123" i="25"/>
  <c r="O125" i="25" s="1"/>
  <c r="O138" i="25" s="1"/>
  <c r="O139" i="25" s="1"/>
  <c r="O148" i="25" s="1"/>
  <c r="O182" i="25" s="1"/>
  <c r="H123" i="25"/>
  <c r="H125" i="25" s="1"/>
  <c r="H138" i="25" s="1"/>
  <c r="H139" i="25" s="1"/>
  <c r="H148" i="25" s="1"/>
  <c r="L123" i="25"/>
  <c r="L125" i="25" s="1"/>
  <c r="M123" i="25"/>
  <c r="M125" i="25" s="1"/>
  <c r="E123" i="25"/>
  <c r="E125" i="25" s="1"/>
  <c r="E138" i="25" s="1"/>
  <c r="N123" i="25"/>
  <c r="N125" i="25" s="1"/>
  <c r="F123" i="25"/>
  <c r="F125" i="25" s="1"/>
  <c r="G123" i="25"/>
  <c r="G125" i="25" s="1"/>
  <c r="G138" i="25" s="1"/>
  <c r="G139" i="25" s="1"/>
  <c r="G148" i="25" s="1"/>
  <c r="K123" i="25"/>
  <c r="K125" i="25" s="1"/>
  <c r="I123" i="25"/>
  <c r="I125" i="25" s="1"/>
  <c r="N51" i="8"/>
  <c r="O48" i="8"/>
  <c r="O47" i="8" s="1"/>
  <c r="M38" i="8"/>
  <c r="N106" i="8" l="1"/>
  <c r="N78" i="8"/>
  <c r="O185" i="25"/>
  <c r="O191" i="25" s="1"/>
  <c r="O188" i="25"/>
  <c r="S188" i="25"/>
  <c r="S185" i="25"/>
  <c r="S191" i="25" s="1"/>
  <c r="P188" i="25"/>
  <c r="P185" i="25"/>
  <c r="P191" i="25" s="1"/>
  <c r="R138" i="25"/>
  <c r="R139" i="25" s="1"/>
  <c r="R148" i="25" s="1"/>
  <c r="R182" i="25" s="1"/>
  <c r="W188" i="25"/>
  <c r="W185" i="25"/>
  <c r="W191" i="25" s="1"/>
  <c r="Q185" i="25"/>
  <c r="Q191" i="25" s="1"/>
  <c r="Q188" i="25"/>
  <c r="V188" i="25"/>
  <c r="V185" i="25"/>
  <c r="V191" i="25" s="1"/>
  <c r="X188" i="25"/>
  <c r="X185" i="25"/>
  <c r="X191" i="25" s="1"/>
  <c r="U188" i="25"/>
  <c r="U185" i="25"/>
  <c r="U191" i="25" s="1"/>
  <c r="T188" i="25"/>
  <c r="T185" i="25"/>
  <c r="T191" i="25" s="1"/>
  <c r="I138" i="25"/>
  <c r="I139" i="25" s="1"/>
  <c r="I148" i="25" s="1"/>
  <c r="I182" i="25" s="1"/>
  <c r="I185" i="25" s="1"/>
  <c r="N138" i="25"/>
  <c r="N139" i="25" s="1"/>
  <c r="N148" i="25" s="1"/>
  <c r="N182" i="25" s="1"/>
  <c r="N185" i="25" s="1"/>
  <c r="N191" i="25" s="1"/>
  <c r="K138" i="25"/>
  <c r="K139" i="25" s="1"/>
  <c r="K148" i="25" s="1"/>
  <c r="M138" i="25"/>
  <c r="M139" i="25" s="1"/>
  <c r="M148" i="25" s="1"/>
  <c r="L138" i="25"/>
  <c r="L139" i="25" s="1"/>
  <c r="L148" i="25" s="1"/>
  <c r="L182" i="25" s="1"/>
  <c r="L185" i="25" s="1"/>
  <c r="J182" i="25"/>
  <c r="J188" i="25" s="1"/>
  <c r="F138" i="25"/>
  <c r="O51" i="8"/>
  <c r="P48" i="8"/>
  <c r="D79" i="25" s="1"/>
  <c r="N38" i="8"/>
  <c r="O106" i="8" l="1"/>
  <c r="O78" i="8"/>
  <c r="R185" i="25"/>
  <c r="R191" i="25" s="1"/>
  <c r="R188" i="25"/>
  <c r="M182" i="25"/>
  <c r="M185" i="25" s="1"/>
  <c r="M191" i="25" s="1"/>
  <c r="K25" i="5" s="1"/>
  <c r="J185" i="25"/>
  <c r="J191" i="25" s="1"/>
  <c r="K22" i="5" s="1"/>
  <c r="N188" i="25"/>
  <c r="L188" i="25"/>
  <c r="K182" i="25"/>
  <c r="K185" i="25" s="1"/>
  <c r="K191" i="25" s="1"/>
  <c r="K23" i="5" s="1"/>
  <c r="I188" i="25"/>
  <c r="L191" i="25"/>
  <c r="K24" i="5" s="1"/>
  <c r="I191" i="25"/>
  <c r="K21" i="5" s="1"/>
  <c r="J21" i="5"/>
  <c r="J24" i="5"/>
  <c r="C78" i="25"/>
  <c r="D81" i="25"/>
  <c r="F136" i="25" s="1"/>
  <c r="F139" i="25" s="1"/>
  <c r="F148" i="25" s="1"/>
  <c r="J26" i="5"/>
  <c r="K26" i="5"/>
  <c r="P47" i="8"/>
  <c r="P51" i="8" s="1"/>
  <c r="O38" i="8"/>
  <c r="P38" i="8" l="1"/>
  <c r="P106" i="8"/>
  <c r="P78" i="8"/>
  <c r="J22" i="5"/>
  <c r="E136" i="25"/>
  <c r="E139" i="25" s="1"/>
  <c r="E148" i="25" s="1"/>
  <c r="X81" i="25"/>
  <c r="X83" i="25" s="1"/>
  <c r="R81" i="25"/>
  <c r="R83" i="25" s="1"/>
  <c r="W81" i="25"/>
  <c r="W83" i="25" s="1"/>
  <c r="T81" i="25"/>
  <c r="T83" i="25" s="1"/>
  <c r="U81" i="25"/>
  <c r="U83" i="25" s="1"/>
  <c r="V81" i="25"/>
  <c r="V83" i="25" s="1"/>
  <c r="O81" i="25"/>
  <c r="O83" i="25" s="1"/>
  <c r="S81" i="25"/>
  <c r="S83" i="25" s="1"/>
  <c r="P81" i="25"/>
  <c r="P83" i="25" s="1"/>
  <c r="Q81" i="25"/>
  <c r="Q83" i="25" s="1"/>
  <c r="J25" i="5"/>
  <c r="K188" i="25"/>
  <c r="J23" i="5"/>
  <c r="M188" i="25"/>
  <c r="N81" i="25"/>
  <c r="N83" i="25" s="1"/>
  <c r="L81" i="25"/>
  <c r="L83" i="25" s="1"/>
  <c r="J81" i="25"/>
  <c r="J83" i="25" s="1"/>
  <c r="K81" i="25"/>
  <c r="K83" i="25" s="1"/>
  <c r="M81" i="25"/>
  <c r="M83" i="25" s="1"/>
  <c r="I81" i="25"/>
  <c r="I83" i="25" s="1"/>
  <c r="E81" i="25"/>
  <c r="E83" i="25" s="1"/>
  <c r="E116" i="25" s="1"/>
  <c r="F81" i="25"/>
  <c r="F83" i="25" s="1"/>
  <c r="F116" i="25" s="1"/>
  <c r="H81" i="25"/>
  <c r="H83" i="25" s="1"/>
  <c r="H116" i="25" s="1"/>
  <c r="G81" i="25"/>
  <c r="G83" i="25" s="1"/>
  <c r="G116" i="25" s="1"/>
  <c r="D136" i="25"/>
  <c r="D163" i="24"/>
  <c r="D164" i="24"/>
  <c r="D119" i="24"/>
  <c r="D74" i="24"/>
  <c r="D75" i="24"/>
  <c r="D138" i="24"/>
  <c r="D77" i="24"/>
  <c r="D120" i="24"/>
  <c r="D66" i="24"/>
  <c r="D80" i="24"/>
  <c r="D132" i="24"/>
  <c r="D134" i="24"/>
  <c r="D72" i="24"/>
  <c r="D73" i="24"/>
  <c r="D79" i="24"/>
  <c r="D159" i="24"/>
  <c r="D124" i="24"/>
  <c r="D130" i="24"/>
  <c r="D122" i="24"/>
  <c r="D121" i="24"/>
  <c r="D67" i="24"/>
  <c r="D76" i="24"/>
  <c r="D82" i="24"/>
  <c r="D137" i="24"/>
  <c r="D158" i="24"/>
  <c r="D131" i="24"/>
  <c r="D135" i="24"/>
  <c r="D133" i="24"/>
  <c r="G158" i="25" l="1"/>
  <c r="G159" i="25" s="1"/>
  <c r="G160" i="25" s="1"/>
  <c r="F182" i="25"/>
  <c r="G182" i="25"/>
  <c r="G188" i="25" s="1"/>
  <c r="H182" i="25"/>
  <c r="H188" i="25" s="1"/>
  <c r="E182" i="25"/>
  <c r="H67" i="24"/>
  <c r="H135" i="24" s="1"/>
  <c r="E67" i="24"/>
  <c r="E135" i="24" s="1"/>
  <c r="G67" i="24"/>
  <c r="G135" i="24" s="1"/>
  <c r="F67" i="24"/>
  <c r="G66" i="24"/>
  <c r="F66" i="24"/>
  <c r="H66" i="24"/>
  <c r="E66" i="24"/>
  <c r="F77" i="24"/>
  <c r="G77" i="24"/>
  <c r="H77" i="24"/>
  <c r="E77" i="24"/>
  <c r="H75" i="24"/>
  <c r="E75" i="24"/>
  <c r="G75" i="24"/>
  <c r="F75" i="24"/>
  <c r="G119" i="24"/>
  <c r="H119" i="24"/>
  <c r="F119" i="24"/>
  <c r="E119" i="24"/>
  <c r="H82" i="24"/>
  <c r="E82" i="24"/>
  <c r="G82" i="24"/>
  <c r="F82" i="24"/>
  <c r="H124" i="24"/>
  <c r="G124" i="24"/>
  <c r="F124" i="24"/>
  <c r="E124" i="24"/>
  <c r="H72" i="24"/>
  <c r="F72" i="24"/>
  <c r="G72" i="24"/>
  <c r="E72" i="24"/>
  <c r="E137" i="24"/>
  <c r="F137" i="24"/>
  <c r="G137" i="24"/>
  <c r="H137" i="24"/>
  <c r="E76" i="24"/>
  <c r="F76" i="24"/>
  <c r="H76" i="24"/>
  <c r="G76" i="24"/>
  <c r="H120" i="24"/>
  <c r="G120" i="24"/>
  <c r="F120" i="24"/>
  <c r="E120" i="24"/>
  <c r="G123" i="24"/>
  <c r="E123" i="24"/>
  <c r="H123" i="24"/>
  <c r="F123" i="24"/>
  <c r="G74" i="24"/>
  <c r="H74" i="24"/>
  <c r="E74" i="24"/>
  <c r="F74" i="24"/>
  <c r="F122" i="24"/>
  <c r="E122" i="24"/>
  <c r="G122" i="24"/>
  <c r="H122" i="24"/>
  <c r="H121" i="24"/>
  <c r="F121" i="24"/>
  <c r="E121" i="24"/>
  <c r="G121" i="24"/>
  <c r="H130" i="24"/>
  <c r="E130" i="24"/>
  <c r="F130" i="24"/>
  <c r="G130" i="24"/>
  <c r="F73" i="24"/>
  <c r="G73" i="24"/>
  <c r="H73" i="24"/>
  <c r="E73" i="24"/>
  <c r="I67" i="24"/>
  <c r="I66" i="24"/>
  <c r="D81" i="24"/>
  <c r="I76" i="24"/>
  <c r="I120" i="24"/>
  <c r="I74" i="24"/>
  <c r="I82" i="24"/>
  <c r="I122" i="24"/>
  <c r="I124" i="24"/>
  <c r="C78" i="24"/>
  <c r="I72" i="24"/>
  <c r="I77" i="24"/>
  <c r="I75" i="24"/>
  <c r="I119" i="24"/>
  <c r="I137" i="24"/>
  <c r="I121" i="24"/>
  <c r="I73" i="24"/>
  <c r="I123" i="24"/>
  <c r="I51" i="8"/>
  <c r="K38" i="8"/>
  <c r="G163" i="25" l="1"/>
  <c r="G168" i="25"/>
  <c r="G167" i="25"/>
  <c r="G164" i="25"/>
  <c r="I106" i="8"/>
  <c r="I78" i="8"/>
  <c r="F188" i="25"/>
  <c r="H185" i="25"/>
  <c r="H191" i="25" s="1"/>
  <c r="K20" i="5" s="1"/>
  <c r="E188" i="25"/>
  <c r="D68" i="24"/>
  <c r="E133" i="24"/>
  <c r="F131" i="24"/>
  <c r="G134" i="24"/>
  <c r="H134" i="24"/>
  <c r="H132" i="24"/>
  <c r="G131" i="24"/>
  <c r="H131" i="24"/>
  <c r="G133" i="24"/>
  <c r="H133" i="24"/>
  <c r="E134" i="24"/>
  <c r="F133" i="24"/>
  <c r="F132" i="24"/>
  <c r="F135" i="24"/>
  <c r="G81" i="24"/>
  <c r="G83" i="24" s="1"/>
  <c r="F81" i="24"/>
  <c r="F83" i="24" s="1"/>
  <c r="H81" i="24"/>
  <c r="H83" i="24" s="1"/>
  <c r="E81" i="24"/>
  <c r="E83" i="24" s="1"/>
  <c r="E131" i="24"/>
  <c r="F134" i="24"/>
  <c r="F125" i="24"/>
  <c r="F138" i="24" s="1"/>
  <c r="E132" i="24"/>
  <c r="H125" i="24"/>
  <c r="H138" i="24" s="1"/>
  <c r="G125" i="24"/>
  <c r="G138" i="24" s="1"/>
  <c r="G132" i="24"/>
  <c r="G14" i="16"/>
  <c r="D14" i="16" s="1"/>
  <c r="G8" i="16"/>
  <c r="D8" i="16" s="1"/>
  <c r="G19" i="16"/>
  <c r="D19" i="16" s="1"/>
  <c r="G3" i="16"/>
  <c r="D3" i="16" s="1"/>
  <c r="G21" i="16"/>
  <c r="D21" i="16" s="1"/>
  <c r="G5" i="16"/>
  <c r="D5" i="16" s="1"/>
  <c r="G27" i="16"/>
  <c r="D27" i="16" s="1"/>
  <c r="G22" i="16"/>
  <c r="D22" i="16" s="1"/>
  <c r="G13" i="16"/>
  <c r="D13" i="16" s="1"/>
  <c r="G12" i="16"/>
  <c r="D12" i="16" s="1"/>
  <c r="G25" i="16"/>
  <c r="D25" i="16" s="1"/>
  <c r="G20" i="16"/>
  <c r="D20" i="16" s="1"/>
  <c r="G2" i="16"/>
  <c r="D2" i="16" s="1"/>
  <c r="G4" i="16"/>
  <c r="D4" i="16" s="1"/>
  <c r="G15" i="16"/>
  <c r="D15" i="16" s="1"/>
  <c r="G6" i="16"/>
  <c r="D6" i="16" s="1"/>
  <c r="G17" i="16"/>
  <c r="D17" i="16" s="1"/>
  <c r="G28" i="16"/>
  <c r="D28" i="16" s="1"/>
  <c r="G16" i="16"/>
  <c r="D16" i="16" s="1"/>
  <c r="G11" i="16"/>
  <c r="D11" i="16" s="1"/>
  <c r="G24" i="16"/>
  <c r="D24" i="16" s="1"/>
  <c r="G7" i="16"/>
  <c r="D7" i="16" s="1"/>
  <c r="G9" i="16"/>
  <c r="D9" i="16" s="1"/>
  <c r="D136" i="24"/>
  <c r="I133" i="24"/>
  <c r="E125" i="24"/>
  <c r="E138" i="24" s="1"/>
  <c r="I81" i="24"/>
  <c r="I83" i="24" s="1"/>
  <c r="I125" i="24"/>
  <c r="I138" i="24" s="1"/>
  <c r="I132" i="24"/>
  <c r="I131" i="24"/>
  <c r="I135" i="24"/>
  <c r="I134" i="24"/>
  <c r="I38" i="8"/>
  <c r="G169" i="25" l="1"/>
  <c r="G171" i="25" s="1"/>
  <c r="J20" i="5"/>
  <c r="G68" i="24"/>
  <c r="G69" i="24" s="1"/>
  <c r="G116" i="24" s="1"/>
  <c r="E68" i="24"/>
  <c r="E69" i="24" s="1"/>
  <c r="E116" i="24" s="1"/>
  <c r="I68" i="24"/>
  <c r="I69" i="24" s="1"/>
  <c r="H68" i="24"/>
  <c r="H69" i="24" s="1"/>
  <c r="H116" i="24" s="1"/>
  <c r="F68" i="24"/>
  <c r="F69" i="24" s="1"/>
  <c r="F116" i="24" s="1"/>
  <c r="H136" i="24"/>
  <c r="H139" i="24" s="1"/>
  <c r="H148" i="24" s="1"/>
  <c r="G136" i="24"/>
  <c r="G139" i="24" s="1"/>
  <c r="G148" i="24" s="1"/>
  <c r="F136" i="24"/>
  <c r="F139" i="24" s="1"/>
  <c r="E136" i="24"/>
  <c r="E139" i="24" s="1"/>
  <c r="I116" i="24"/>
  <c r="I136" i="24"/>
  <c r="I139" i="24" s="1"/>
  <c r="I148" i="24" s="1"/>
  <c r="G184" i="25" l="1"/>
  <c r="G177" i="25"/>
  <c r="H19" i="5" s="1"/>
  <c r="G178" i="25"/>
  <c r="I182" i="24"/>
  <c r="I158" i="24"/>
  <c r="G179" i="25" l="1"/>
  <c r="I19" i="5" s="1"/>
  <c r="G176" i="25"/>
  <c r="G19" i="5" s="1"/>
  <c r="G190" i="25"/>
  <c r="G185" i="25"/>
  <c r="I188" i="24"/>
  <c r="I159" i="24"/>
  <c r="I160" i="24" s="1"/>
  <c r="F79" i="6"/>
  <c r="F81" i="6" s="1"/>
  <c r="G191" i="25" l="1"/>
  <c r="K19" i="5" s="1"/>
  <c r="J19" i="5"/>
  <c r="F93" i="6"/>
  <c r="I168" i="24"/>
  <c r="I163" i="24"/>
  <c r="I164" i="24"/>
  <c r="I167" i="24"/>
  <c r="F86" i="6" l="1"/>
  <c r="H37" i="5" s="1"/>
  <c r="F89" i="6"/>
  <c r="G37" i="5" s="1"/>
  <c r="F98" i="6"/>
  <c r="F94" i="6"/>
  <c r="I169" i="24"/>
  <c r="I171" i="24" s="1"/>
  <c r="I184" i="24" s="1"/>
  <c r="I185" i="24" s="1"/>
  <c r="I37" i="5" l="1"/>
  <c r="F99" i="6"/>
  <c r="I190" i="24"/>
  <c r="J37" i="5" l="1"/>
  <c r="F100" i="6"/>
  <c r="K37" i="5" s="1"/>
  <c r="G29" i="24" l="1"/>
  <c r="H27" i="24"/>
  <c r="H29" i="24" s="1"/>
  <c r="H182" i="24" l="1"/>
  <c r="G182" i="24"/>
  <c r="H188" i="24" l="1"/>
  <c r="G188" i="24"/>
  <c r="E32" i="6" l="1"/>
  <c r="E38" i="6" s="1"/>
  <c r="E52" i="6" s="1"/>
  <c r="E57" i="6" l="1"/>
  <c r="E33" i="6"/>
  <c r="E34" i="6" s="1"/>
  <c r="E58" i="6"/>
  <c r="E62" i="6"/>
  <c r="E63" i="6" l="1"/>
  <c r="E92" i="6" s="1"/>
  <c r="E68" i="6" s="1"/>
  <c r="E69" i="6" s="1"/>
  <c r="E70" i="6" l="1"/>
  <c r="E78" i="6" s="1"/>
  <c r="E97" i="6"/>
  <c r="J61" i="5" s="1"/>
  <c r="E73" i="6"/>
  <c r="E77" i="6"/>
  <c r="E74" i="6" l="1"/>
  <c r="K61" i="5"/>
  <c r="E79" i="6" l="1"/>
  <c r="E81" i="6" l="1"/>
  <c r="E93" i="6" s="1"/>
  <c r="E89" i="6" l="1"/>
  <c r="G36" i="5" s="1"/>
  <c r="E86" i="6"/>
  <c r="H36" i="5" s="1"/>
  <c r="E98" i="6"/>
  <c r="E94" i="6"/>
  <c r="I36" i="5" s="1"/>
  <c r="E99" i="6" l="1"/>
  <c r="E100" i="6" l="1"/>
  <c r="K36" i="5" s="1"/>
  <c r="K41" i="5" s="1"/>
  <c r="J36" i="5"/>
  <c r="J41" i="5" s="1"/>
  <c r="E29" i="24" l="1"/>
  <c r="F29" i="24" l="1"/>
  <c r="G26" i="16"/>
  <c r="D26" i="16" s="1"/>
  <c r="G10" i="16"/>
  <c r="D10" i="16" s="1"/>
  <c r="E29" i="16"/>
  <c r="G29" i="16" s="1"/>
  <c r="D29" i="16" s="1"/>
  <c r="G18" i="16"/>
  <c r="D18" i="16" s="1"/>
  <c r="G23" i="16"/>
  <c r="D23" i="16" s="1"/>
  <c r="I28" i="16" l="1"/>
  <c r="J28" i="16" s="1"/>
  <c r="I5" i="16"/>
  <c r="J5" i="16" s="1"/>
  <c r="B48" i="5" s="1"/>
  <c r="H48" i="5" s="1"/>
  <c r="I13" i="16"/>
  <c r="J13" i="16" s="1"/>
  <c r="I6" i="16"/>
  <c r="J6" i="16" s="1"/>
  <c r="B49" i="5" s="1"/>
  <c r="H49" i="5" s="1"/>
  <c r="I22" i="16"/>
  <c r="J22" i="16" s="1"/>
  <c r="I17" i="16"/>
  <c r="J17" i="16" s="1"/>
  <c r="I9" i="16"/>
  <c r="J9" i="16" s="1"/>
  <c r="B52" i="5" s="1"/>
  <c r="H52" i="5" s="1"/>
  <c r="I26" i="16"/>
  <c r="J26" i="16" s="1"/>
  <c r="I19" i="16"/>
  <c r="J19" i="16" s="1"/>
  <c r="I25" i="16"/>
  <c r="J25" i="16" s="1"/>
  <c r="I15" i="16"/>
  <c r="J15" i="16" s="1"/>
  <c r="I2" i="16"/>
  <c r="J2" i="16" s="1"/>
  <c r="B45" i="5" s="1"/>
  <c r="G45" i="5" s="1"/>
  <c r="I11" i="16"/>
  <c r="J11" i="16" s="1"/>
  <c r="I12" i="16"/>
  <c r="J12" i="16" s="1"/>
  <c r="I16" i="16"/>
  <c r="J16" i="16" s="1"/>
  <c r="I10" i="16"/>
  <c r="J10" i="16" s="1"/>
  <c r="B53" i="5" s="1"/>
  <c r="I29" i="16"/>
  <c r="J29" i="16" s="1"/>
  <c r="I3" i="16"/>
  <c r="J3" i="16" s="1"/>
  <c r="B46" i="5" s="1"/>
  <c r="H46" i="5" s="1"/>
  <c r="I8" i="16"/>
  <c r="J8" i="16" s="1"/>
  <c r="B51" i="5" s="1"/>
  <c r="F51" i="5" s="1"/>
  <c r="I4" i="16"/>
  <c r="J4" i="16" s="1"/>
  <c r="B47" i="5" s="1"/>
  <c r="G47" i="5" s="1"/>
  <c r="I23" i="16"/>
  <c r="J23" i="16" s="1"/>
  <c r="I14" i="16"/>
  <c r="J14" i="16" s="1"/>
  <c r="I21" i="16"/>
  <c r="J21" i="16" s="1"/>
  <c r="I18" i="16"/>
  <c r="J18" i="16" s="1"/>
  <c r="I20" i="16"/>
  <c r="J20" i="16" s="1"/>
  <c r="I27" i="16"/>
  <c r="J27" i="16" s="1"/>
  <c r="I24" i="16"/>
  <c r="J24" i="16" s="1"/>
  <c r="I7" i="16"/>
  <c r="J7" i="16" s="1"/>
  <c r="B50" i="5" s="1"/>
  <c r="F50" i="5" s="1"/>
  <c r="F48" i="5" l="1"/>
  <c r="F49" i="5"/>
  <c r="F52" i="5"/>
  <c r="G49" i="5"/>
  <c r="G52" i="5"/>
  <c r="G48" i="5"/>
  <c r="F53" i="5"/>
  <c r="H53" i="5"/>
  <c r="H45" i="5"/>
  <c r="G46" i="5"/>
  <c r="G53" i="5"/>
  <c r="F45" i="5"/>
  <c r="F46" i="5"/>
  <c r="H47" i="5"/>
  <c r="F47" i="5"/>
  <c r="G51" i="5"/>
  <c r="H51" i="5"/>
  <c r="H50" i="5"/>
  <c r="G50" i="5"/>
  <c r="H54" i="5" l="1"/>
  <c r="I53" i="5" l="1"/>
  <c r="I50" i="5"/>
  <c r="I46" i="5"/>
  <c r="I48" i="5"/>
  <c r="I47" i="5"/>
  <c r="I51" i="5"/>
  <c r="I52" i="5"/>
  <c r="I49" i="5"/>
  <c r="J53" i="5"/>
  <c r="J49" i="5"/>
  <c r="J52" i="5"/>
  <c r="I45" i="5" l="1"/>
  <c r="J51" i="5"/>
  <c r="J50" i="5"/>
  <c r="J48" i="5"/>
  <c r="J47" i="5"/>
  <c r="J46" i="5"/>
  <c r="J45" i="5"/>
  <c r="J54" i="5" l="1"/>
  <c r="K46" i="5"/>
  <c r="K48" i="5"/>
  <c r="K50" i="5"/>
  <c r="K53" i="5"/>
  <c r="K47" i="5"/>
  <c r="K51" i="5"/>
  <c r="K52" i="5"/>
  <c r="K49" i="5"/>
  <c r="K45" i="5" l="1"/>
  <c r="K54" i="5" s="1"/>
  <c r="E145" i="24"/>
  <c r="E146" i="24" s="1"/>
  <c r="E148" i="24" s="1"/>
  <c r="F145" i="24"/>
  <c r="F146" i="24" s="1"/>
  <c r="F148" i="24" s="1"/>
  <c r="H29" i="3"/>
  <c r="H18" i="3"/>
  <c r="H19" i="3"/>
  <c r="H22" i="3"/>
  <c r="H8" i="3"/>
  <c r="H11" i="3"/>
  <c r="H16" i="3"/>
  <c r="H21" i="3"/>
  <c r="H24" i="3"/>
  <c r="H13" i="3"/>
  <c r="H15" i="3"/>
  <c r="H27" i="3"/>
  <c r="H17" i="3"/>
  <c r="H23" i="3"/>
  <c r="H26" i="3"/>
  <c r="H31" i="3"/>
  <c r="H12" i="3"/>
  <c r="H30" i="3"/>
  <c r="H28" i="3"/>
  <c r="H9" i="3"/>
  <c r="H7" i="3"/>
  <c r="H25" i="3"/>
  <c r="H6" i="3"/>
  <c r="H20" i="3"/>
  <c r="H14" i="3"/>
  <c r="H10" i="3"/>
  <c r="E8" i="3"/>
  <c r="E28" i="3"/>
  <c r="E22" i="3"/>
  <c r="E7" i="3"/>
  <c r="E10" i="3"/>
  <c r="E17" i="3"/>
  <c r="E21" i="3"/>
  <c r="E11" i="3"/>
  <c r="E24" i="3"/>
  <c r="E12" i="3"/>
  <c r="E26" i="3"/>
  <c r="E25" i="3"/>
  <c r="E15" i="3"/>
  <c r="E30" i="3"/>
  <c r="E29" i="3"/>
  <c r="E13" i="3"/>
  <c r="E19" i="3"/>
  <c r="E18" i="3"/>
  <c r="E14" i="3"/>
  <c r="E27" i="3"/>
  <c r="E20" i="3"/>
  <c r="E16" i="3"/>
  <c r="E31" i="3"/>
  <c r="E9" i="3"/>
  <c r="E23" i="3"/>
  <c r="F182" i="24" l="1"/>
  <c r="F188" i="24" s="1"/>
  <c r="E182" i="24"/>
  <c r="E188" i="24" s="1"/>
  <c r="S4" i="3"/>
  <c r="Z4" i="3"/>
  <c r="AA4" i="3"/>
  <c r="P4" i="3"/>
  <c r="AC4" i="3"/>
  <c r="J4" i="3"/>
  <c r="E151" i="24" s="1"/>
  <c r="U4" i="3"/>
  <c r="K4" i="3"/>
  <c r="R4" i="3"/>
  <c r="V4" i="3"/>
  <c r="M4" i="3"/>
  <c r="H151" i="24" s="1"/>
  <c r="H152" i="24" s="1"/>
  <c r="Y4" i="3"/>
  <c r="O4" i="3"/>
  <c r="W4" i="3"/>
  <c r="AB4" i="3"/>
  <c r="X4" i="3"/>
  <c r="N4" i="3"/>
  <c r="Q4" i="3"/>
  <c r="L4" i="3"/>
  <c r="G151" i="24" s="1"/>
  <c r="G152" i="24" s="1"/>
  <c r="T4" i="3"/>
  <c r="J58" i="5" l="1"/>
  <c r="K58" i="5" s="1"/>
  <c r="F151" i="24"/>
  <c r="F152" i="24" s="1"/>
  <c r="F153" i="24" s="1"/>
  <c r="F151" i="25"/>
  <c r="E152" i="24"/>
  <c r="E153" i="24" s="1"/>
  <c r="H153" i="24"/>
  <c r="G153" i="24"/>
  <c r="J59" i="5" l="1"/>
  <c r="K59" i="5" s="1"/>
  <c r="G183" i="24"/>
  <c r="G158" i="24"/>
  <c r="H158" i="24"/>
  <c r="H183" i="24"/>
  <c r="F183" i="24"/>
  <c r="F158" i="24"/>
  <c r="F159" i="24" l="1"/>
  <c r="F160" i="24" s="1"/>
  <c r="H189" i="24"/>
  <c r="G159" i="24"/>
  <c r="G160" i="24" s="1"/>
  <c r="F189" i="24"/>
  <c r="H159" i="24"/>
  <c r="H160" i="24" s="1"/>
  <c r="G189" i="24"/>
  <c r="E158" i="24"/>
  <c r="E183" i="24"/>
  <c r="H167" i="24" l="1"/>
  <c r="H163" i="24"/>
  <c r="H168" i="24"/>
  <c r="H164" i="24"/>
  <c r="G167" i="24"/>
  <c r="G168" i="24"/>
  <c r="G163" i="24"/>
  <c r="G164" i="24"/>
  <c r="F164" i="24"/>
  <c r="F163" i="24"/>
  <c r="F167" i="24"/>
  <c r="F168" i="24"/>
  <c r="E189" i="24"/>
  <c r="E159" i="24"/>
  <c r="E160" i="24" l="1"/>
  <c r="E164" i="24" s="1"/>
  <c r="G169" i="24"/>
  <c r="G171" i="24" s="1"/>
  <c r="G184" i="24" s="1"/>
  <c r="F169" i="24"/>
  <c r="F171" i="24" s="1"/>
  <c r="H169" i="24"/>
  <c r="H171" i="24" s="1"/>
  <c r="E168" i="24" l="1"/>
  <c r="E167" i="24"/>
  <c r="E163" i="24"/>
  <c r="G177" i="24"/>
  <c r="G178" i="24"/>
  <c r="G179" i="24" s="1"/>
  <c r="H184" i="24"/>
  <c r="H177" i="24"/>
  <c r="H178" i="24"/>
  <c r="F184" i="24"/>
  <c r="F178" i="24"/>
  <c r="F177" i="24"/>
  <c r="G190" i="24"/>
  <c r="G185" i="24"/>
  <c r="G191" i="24" s="1"/>
  <c r="E169" i="24" l="1"/>
  <c r="E171" i="24" s="1"/>
  <c r="G176" i="24"/>
  <c r="G218" i="24" s="1"/>
  <c r="H176" i="24"/>
  <c r="H179" i="24"/>
  <c r="F179" i="24"/>
  <c r="F176" i="24"/>
  <c r="F190" i="24"/>
  <c r="F185" i="24"/>
  <c r="F191" i="24" s="1"/>
  <c r="H190" i="24"/>
  <c r="H185" i="24"/>
  <c r="H191" i="24" s="1"/>
  <c r="G213" i="24" l="1"/>
  <c r="E184" i="24"/>
  <c r="E178" i="24"/>
  <c r="E177" i="24"/>
  <c r="F198" i="24"/>
  <c r="F200" i="24"/>
  <c r="F221" i="24"/>
  <c r="F208" i="24"/>
  <c r="F214" i="24"/>
  <c r="F202" i="24"/>
  <c r="F199" i="24"/>
  <c r="F201" i="24"/>
  <c r="F209" i="24"/>
  <c r="F197" i="24"/>
  <c r="F207" i="24"/>
  <c r="F205" i="24"/>
  <c r="F196" i="24"/>
  <c r="F215" i="24"/>
  <c r="F210" i="24"/>
  <c r="F206" i="24"/>
  <c r="H218" i="24"/>
  <c r="M218" i="24" s="1"/>
  <c r="N218" i="24" s="1"/>
  <c r="O218" i="24" s="1"/>
  <c r="H213" i="24"/>
  <c r="M213" i="24" l="1"/>
  <c r="N213" i="24" s="1"/>
  <c r="O213" i="24" s="1"/>
  <c r="E176" i="24"/>
  <c r="E179" i="24"/>
  <c r="E203" i="24" s="1"/>
  <c r="E190" i="24"/>
  <c r="E185" i="24"/>
  <c r="E191" i="24" s="1"/>
  <c r="E208" i="24" l="1"/>
  <c r="M208" i="24" s="1"/>
  <c r="N208" i="24" s="1"/>
  <c r="O208" i="24" s="1"/>
  <c r="E221" i="24"/>
  <c r="M221" i="24" s="1"/>
  <c r="N221" i="24" s="1"/>
  <c r="O221" i="24" s="1"/>
  <c r="E199" i="24"/>
  <c r="M199" i="24" s="1"/>
  <c r="N199" i="24" s="1"/>
  <c r="O199" i="24" s="1"/>
  <c r="E196" i="24"/>
  <c r="M196" i="24" s="1"/>
  <c r="N196" i="24" s="1"/>
  <c r="O196" i="24" s="1"/>
  <c r="E207" i="24"/>
  <c r="M207" i="24" s="1"/>
  <c r="N207" i="24" s="1"/>
  <c r="O207" i="24" s="1"/>
  <c r="E215" i="24"/>
  <c r="M215" i="24" s="1"/>
  <c r="N215" i="24" s="1"/>
  <c r="O215" i="24" s="1"/>
  <c r="E205" i="24"/>
  <c r="M205" i="24" s="1"/>
  <c r="N205" i="24" s="1"/>
  <c r="O205" i="24" s="1"/>
  <c r="E201" i="24"/>
  <c r="M201" i="24" s="1"/>
  <c r="N201" i="24" s="1"/>
  <c r="O201" i="24" s="1"/>
  <c r="E197" i="24"/>
  <c r="M197" i="24" s="1"/>
  <c r="N197" i="24" s="1"/>
  <c r="O197" i="24" s="1"/>
  <c r="E210" i="24"/>
  <c r="M210" i="24" s="1"/>
  <c r="N210" i="24" s="1"/>
  <c r="O210" i="24" s="1"/>
  <c r="E209" i="24"/>
  <c r="M209" i="24" s="1"/>
  <c r="N209" i="24" s="1"/>
  <c r="O209" i="24" s="1"/>
  <c r="E202" i="24"/>
  <c r="M202" i="24" s="1"/>
  <c r="N202" i="24" s="1"/>
  <c r="O202" i="24" s="1"/>
  <c r="E214" i="24"/>
  <c r="M214" i="24" s="1"/>
  <c r="N214" i="24" s="1"/>
  <c r="O214" i="24" s="1"/>
  <c r="E200" i="24"/>
  <c r="M200" i="24" s="1"/>
  <c r="N200" i="24" s="1"/>
  <c r="O200" i="24" s="1"/>
  <c r="E206" i="24"/>
  <c r="M206" i="24" s="1"/>
  <c r="N206" i="24" s="1"/>
  <c r="O206" i="24" s="1"/>
  <c r="E198" i="24"/>
  <c r="M198" i="24" s="1"/>
  <c r="N198" i="24" s="1"/>
  <c r="O198" i="24" s="1"/>
  <c r="I4" i="9"/>
  <c r="F153" i="25" l="1"/>
  <c r="E152" i="25"/>
  <c r="J60" i="5" s="1"/>
  <c r="E153" i="25" l="1"/>
  <c r="F158" i="25"/>
  <c r="F183" i="25"/>
  <c r="E158" i="25" l="1"/>
  <c r="E159" i="25" s="1"/>
  <c r="E183" i="25"/>
  <c r="E189" i="25" s="1"/>
  <c r="F159" i="25"/>
  <c r="F160" i="25" s="1"/>
  <c r="K60" i="5"/>
  <c r="J62" i="5"/>
  <c r="K62" i="5" s="1"/>
  <c r="F189" i="25"/>
  <c r="J64" i="5" l="1"/>
  <c r="J65" i="5"/>
  <c r="K65" i="5" s="1"/>
  <c r="F167" i="25"/>
  <c r="F164" i="25"/>
  <c r="F163" i="25"/>
  <c r="F168" i="25"/>
  <c r="E160" i="25"/>
  <c r="K64" i="5" l="1"/>
  <c r="E167" i="25"/>
  <c r="E163" i="25"/>
  <c r="E164" i="25"/>
  <c r="E168" i="25"/>
  <c r="F169" i="25"/>
  <c r="F171" i="25" s="1"/>
  <c r="E169" i="25" l="1"/>
  <c r="F184" i="25"/>
  <c r="F178" i="25"/>
  <c r="F177" i="25"/>
  <c r="H18" i="5" s="1"/>
  <c r="J12" i="9" l="1"/>
  <c r="J24" i="9"/>
  <c r="J36" i="9"/>
  <c r="J48" i="9"/>
  <c r="J60" i="9"/>
  <c r="J72" i="9"/>
  <c r="J84" i="9"/>
  <c r="J96" i="9"/>
  <c r="J108" i="9"/>
  <c r="J120" i="9"/>
  <c r="J132" i="9"/>
  <c r="J144" i="9"/>
  <c r="J156" i="9"/>
  <c r="J168" i="9"/>
  <c r="J180" i="9"/>
  <c r="J192" i="9"/>
  <c r="J204" i="9"/>
  <c r="J13" i="9"/>
  <c r="J25" i="9"/>
  <c r="J37" i="9"/>
  <c r="J49" i="9"/>
  <c r="J61" i="9"/>
  <c r="J73" i="9"/>
  <c r="J85" i="9"/>
  <c r="J97" i="9"/>
  <c r="J109" i="9"/>
  <c r="J121" i="9"/>
  <c r="J133" i="9"/>
  <c r="J145" i="9"/>
  <c r="J157" i="9"/>
  <c r="J169" i="9"/>
  <c r="J181" i="9"/>
  <c r="J193" i="9"/>
  <c r="J205" i="9"/>
  <c r="J14" i="9"/>
  <c r="J26" i="9"/>
  <c r="J38" i="9"/>
  <c r="J50" i="9"/>
  <c r="J62" i="9"/>
  <c r="J74" i="9"/>
  <c r="J86" i="9"/>
  <c r="J98" i="9"/>
  <c r="J110" i="9"/>
  <c r="J122" i="9"/>
  <c r="J134" i="9"/>
  <c r="J146" i="9"/>
  <c r="J158" i="9"/>
  <c r="J170" i="9"/>
  <c r="J182" i="9"/>
  <c r="J194" i="9"/>
  <c r="J15" i="9"/>
  <c r="J27" i="9"/>
  <c r="J39" i="9"/>
  <c r="J51" i="9"/>
  <c r="J63" i="9"/>
  <c r="J75" i="9"/>
  <c r="J87" i="9"/>
  <c r="J99" i="9"/>
  <c r="J111" i="9"/>
  <c r="J123" i="9"/>
  <c r="J135" i="9"/>
  <c r="J147" i="9"/>
  <c r="J159" i="9"/>
  <c r="J171" i="9"/>
  <c r="J183" i="9"/>
  <c r="J195" i="9"/>
  <c r="J9" i="9"/>
  <c r="J16" i="9"/>
  <c r="J28" i="9"/>
  <c r="J40" i="9"/>
  <c r="J52" i="9"/>
  <c r="J64" i="9"/>
  <c r="J76" i="9"/>
  <c r="J88" i="9"/>
  <c r="J100" i="9"/>
  <c r="J112" i="9"/>
  <c r="J124" i="9"/>
  <c r="J136" i="9"/>
  <c r="J148" i="9"/>
  <c r="J160" i="9"/>
  <c r="J172" i="9"/>
  <c r="J184" i="9"/>
  <c r="J196" i="9"/>
  <c r="J10" i="9"/>
  <c r="J20" i="9"/>
  <c r="J32" i="9"/>
  <c r="J44" i="9"/>
  <c r="J56" i="9"/>
  <c r="J68" i="9"/>
  <c r="J80" i="9"/>
  <c r="J92" i="9"/>
  <c r="J104" i="9"/>
  <c r="J116" i="9"/>
  <c r="J128" i="9"/>
  <c r="J140" i="9"/>
  <c r="J152" i="9"/>
  <c r="J164" i="9"/>
  <c r="J176" i="9"/>
  <c r="J188" i="9"/>
  <c r="J200" i="9"/>
  <c r="J21" i="9"/>
  <c r="J33" i="9"/>
  <c r="J45" i="9"/>
  <c r="J57" i="9"/>
  <c r="J69" i="9"/>
  <c r="J81" i="9"/>
  <c r="J93" i="9"/>
  <c r="J105" i="9"/>
  <c r="J117" i="9"/>
  <c r="J129" i="9"/>
  <c r="J141" i="9"/>
  <c r="J153" i="9"/>
  <c r="J165" i="9"/>
  <c r="J177" i="9"/>
  <c r="J189" i="9"/>
  <c r="J201" i="9"/>
  <c r="J17" i="9"/>
  <c r="J43" i="9"/>
  <c r="J71" i="9"/>
  <c r="J102" i="9"/>
  <c r="J130" i="9"/>
  <c r="J161" i="9"/>
  <c r="J187" i="9"/>
  <c r="J162" i="9"/>
  <c r="J191" i="9"/>
  <c r="J53" i="9"/>
  <c r="J107" i="9"/>
  <c r="J198" i="9"/>
  <c r="J114" i="9"/>
  <c r="J30" i="9"/>
  <c r="J174" i="9"/>
  <c r="J118" i="9"/>
  <c r="J34" i="9"/>
  <c r="J150" i="9"/>
  <c r="J94" i="9"/>
  <c r="J179" i="9"/>
  <c r="J95" i="9"/>
  <c r="J42" i="9"/>
  <c r="J186" i="9"/>
  <c r="J18" i="9"/>
  <c r="J46" i="9"/>
  <c r="J77" i="9"/>
  <c r="J103" i="9"/>
  <c r="J131" i="9"/>
  <c r="J190" i="9"/>
  <c r="J163" i="9"/>
  <c r="J22" i="9"/>
  <c r="J79" i="9"/>
  <c r="J138" i="9"/>
  <c r="J197" i="9"/>
  <c r="J83" i="9"/>
  <c r="J142" i="9"/>
  <c r="J58" i="9"/>
  <c r="J115" i="9"/>
  <c r="J202" i="9"/>
  <c r="J59" i="9"/>
  <c r="J149" i="9"/>
  <c r="J119" i="9"/>
  <c r="J178" i="9"/>
  <c r="J66" i="9"/>
  <c r="J151" i="9"/>
  <c r="J67" i="9"/>
  <c r="J154" i="9"/>
  <c r="J7" i="9"/>
  <c r="J101" i="9"/>
  <c r="J155" i="9"/>
  <c r="J19" i="9"/>
  <c r="J47" i="9"/>
  <c r="J78" i="9"/>
  <c r="J106" i="9"/>
  <c r="J137" i="9"/>
  <c r="J166" i="9"/>
  <c r="J55" i="9"/>
  <c r="J199" i="9"/>
  <c r="J89" i="9"/>
  <c r="J31" i="9"/>
  <c r="J175" i="9"/>
  <c r="J65" i="9"/>
  <c r="J11" i="9"/>
  <c r="J125" i="9"/>
  <c r="J41" i="9"/>
  <c r="J185" i="9"/>
  <c r="J127" i="9"/>
  <c r="J23" i="9"/>
  <c r="J54" i="9"/>
  <c r="J82" i="9"/>
  <c r="J113" i="9"/>
  <c r="J139" i="9"/>
  <c r="J167" i="9"/>
  <c r="J29" i="9"/>
  <c r="J173" i="9"/>
  <c r="J143" i="9"/>
  <c r="J90" i="9"/>
  <c r="J203" i="9"/>
  <c r="J91" i="9"/>
  <c r="J35" i="9"/>
  <c r="J6" i="9"/>
  <c r="J126" i="9"/>
  <c r="J70" i="9"/>
  <c r="J8" i="9"/>
  <c r="J66" i="5"/>
  <c r="F179" i="25"/>
  <c r="I18" i="5" s="1"/>
  <c r="F176" i="25"/>
  <c r="G18" i="5" s="1"/>
  <c r="F190" i="25"/>
  <c r="F185" i="25"/>
  <c r="E171" i="25"/>
  <c r="E177" i="25" s="1"/>
  <c r="E184" i="25" l="1"/>
  <c r="H17" i="5"/>
  <c r="E178" i="25"/>
  <c r="K66" i="5"/>
  <c r="J18" i="5"/>
  <c r="F191" i="25"/>
  <c r="K18" i="5" s="1"/>
  <c r="E179" i="25" l="1"/>
  <c r="I17" i="5" s="1"/>
  <c r="E176" i="25"/>
  <c r="G17" i="5" s="1"/>
  <c r="E190" i="25"/>
  <c r="E185" i="25"/>
  <c r="E191" i="25" l="1"/>
  <c r="K17" i="5" s="1"/>
  <c r="K27" i="5" s="1"/>
  <c r="J17" i="5"/>
  <c r="J27" i="5" s="1"/>
  <c r="J4" i="9" l="1"/>
  <c r="J67" i="5" l="1"/>
  <c r="J31" i="5"/>
  <c r="K31" i="5" s="1"/>
  <c r="K67" i="5" l="1"/>
  <c r="K68" i="5" s="1"/>
  <c r="J68" i="5"/>
  <c r="J32" i="5"/>
  <c r="K32" i="5"/>
  <c r="H72" i="5" l="1"/>
  <c r="K72" i="5" s="1"/>
  <c r="K73" i="5" s="1"/>
  <c r="J72" i="5" l="1"/>
  <c r="J73" i="5" s="1"/>
</calcChain>
</file>

<file path=xl/comments1.xml><?xml version="1.0" encoding="utf-8"?>
<comments xmlns="http://schemas.openxmlformats.org/spreadsheetml/2006/main">
  <authors>
    <author>Alexandre Machry</author>
  </authors>
  <commentList>
    <comment ref="C19" authorId="0" shapeId="0">
      <text>
        <r>
          <rPr>
            <sz val="9"/>
            <color indexed="81"/>
            <rFont val="Segoe UI"/>
            <family val="2"/>
          </rPr>
          <t>Campo livre para observações do posto</t>
        </r>
      </text>
    </comment>
  </commentList>
</comments>
</file>

<file path=xl/comments2.xml><?xml version="1.0" encoding="utf-8"?>
<comments xmlns="http://schemas.openxmlformats.org/spreadsheetml/2006/main">
  <authors>
    <author>Alexandre Machry</author>
  </authors>
  <commentList>
    <comment ref="D60" authorId="0" shapeId="0">
      <text>
        <r>
          <rPr>
            <sz val="9"/>
            <color indexed="81"/>
            <rFont val="Segoe UI"/>
            <family val="2"/>
          </rPr>
          <t>Meta da Taxa Selic</t>
        </r>
      </text>
    </comment>
  </commentList>
</comments>
</file>

<file path=xl/comments3.xml><?xml version="1.0" encoding="utf-8"?>
<comments xmlns="http://schemas.openxmlformats.org/spreadsheetml/2006/main">
  <authors>
    <author>Alexandre Machry</author>
  </authors>
  <commentList>
    <comment ref="C19" authorId="0" shapeId="0">
      <text>
        <r>
          <rPr>
            <sz val="9"/>
            <color indexed="81"/>
            <rFont val="Segoe UI"/>
            <family val="2"/>
          </rPr>
          <t>Campo livre para observações do posto</t>
        </r>
      </text>
    </comment>
  </commentList>
</comments>
</file>

<file path=xl/sharedStrings.xml><?xml version="1.0" encoding="utf-8"?>
<sst xmlns="http://schemas.openxmlformats.org/spreadsheetml/2006/main" count="1548" uniqueCount="747">
  <si>
    <t>C</t>
  </si>
  <si>
    <t>B</t>
  </si>
  <si>
    <t>A</t>
  </si>
  <si>
    <t>D</t>
  </si>
  <si>
    <t>H</t>
  </si>
  <si>
    <t>G</t>
  </si>
  <si>
    <t>F</t>
  </si>
  <si>
    <t>E</t>
  </si>
  <si>
    <t>Remuneração mensal de capital</t>
  </si>
  <si>
    <t>Rastreador GPS</t>
  </si>
  <si>
    <t>Seguro contra terceiros</t>
  </si>
  <si>
    <t>Vistoria EPTC</t>
  </si>
  <si>
    <t>Licenciamento</t>
  </si>
  <si>
    <t>IPVA</t>
  </si>
  <si>
    <t>Custo estimado com manutenção</t>
  </si>
  <si>
    <t>Quantidade</t>
  </si>
  <si>
    <t>Preço por Litro - Óleo Motor</t>
  </si>
  <si>
    <t xml:space="preserve">Valor do Piso normativo da Categoria </t>
  </si>
  <si>
    <t xml:space="preserve">Sindicato representativo da categoria profissional </t>
  </si>
  <si>
    <t xml:space="preserve">Quantidade de horas noturnas reduzidas por mês  </t>
  </si>
  <si>
    <t xml:space="preserve">Quantidade de Horas Extras mensal  </t>
  </si>
  <si>
    <t xml:space="preserve">Férias e Adicional de Férias </t>
  </si>
  <si>
    <t xml:space="preserve">Participação do empregado no custo  </t>
  </si>
  <si>
    <t xml:space="preserve">Auxílio-Refeição/Alimentação   </t>
  </si>
  <si>
    <t xml:space="preserve">Valor do Auxílio-Alimentação   </t>
  </si>
  <si>
    <t xml:space="preserve">Assistência Médica e Familiar </t>
  </si>
  <si>
    <t xml:space="preserve">Valor previsto em CCT/ACT  </t>
  </si>
  <si>
    <t xml:space="preserve">Seguro de vida em grupo  </t>
  </si>
  <si>
    <t xml:space="preserve">Auxílio-Funeral    </t>
  </si>
  <si>
    <t xml:space="preserve">Cesta Básica  </t>
  </si>
  <si>
    <t xml:space="preserve">Plano de Benefício Social Familiar </t>
  </si>
  <si>
    <t xml:space="preserve">Incidência do FGTS sobre Aviso Prévio indenizado </t>
  </si>
  <si>
    <t xml:space="preserve">Aviso prévio trabalhado  </t>
  </si>
  <si>
    <t xml:space="preserve">Incidência dos encargos do submódulo 2.2 sobre item D  </t>
  </si>
  <si>
    <t xml:space="preserve">Multa sobre FGTS e contribuições sociais incidentes </t>
  </si>
  <si>
    <t xml:space="preserve">Substituto na cobertura de férias  </t>
  </si>
  <si>
    <t xml:space="preserve">Substituto na cobertura de licença paternidade </t>
  </si>
  <si>
    <t xml:space="preserve">Substituto na cobertura das ausências legais </t>
  </si>
  <si>
    <t xml:space="preserve">Substituto na cobertura de afastamento maternidade </t>
  </si>
  <si>
    <t xml:space="preserve">Inclusão custo M3 (Provisão para Rescisão) para substitutos  </t>
  </si>
  <si>
    <t>Código</t>
  </si>
  <si>
    <t>Valor (R$)</t>
  </si>
  <si>
    <t>FAP</t>
  </si>
  <si>
    <t>COFINS</t>
  </si>
  <si>
    <t>ISSQN</t>
  </si>
  <si>
    <t>12x36 Diurno</t>
  </si>
  <si>
    <t>12x36 Noturno</t>
  </si>
  <si>
    <t>RAT</t>
  </si>
  <si>
    <t>Considerado</t>
  </si>
  <si>
    <t>INSS</t>
  </si>
  <si>
    <t>SESI OU SESC</t>
  </si>
  <si>
    <t>SENAI OU SENAC</t>
  </si>
  <si>
    <t>INCRA</t>
  </si>
  <si>
    <t>Salário educação</t>
  </si>
  <si>
    <t>FGTS</t>
  </si>
  <si>
    <t>SEBRAE</t>
  </si>
  <si>
    <t>13º salário</t>
  </si>
  <si>
    <t>Tempo de depreciação</t>
  </si>
  <si>
    <t>Lucro Real</t>
  </si>
  <si>
    <t>Lucro Presumido</t>
  </si>
  <si>
    <t>Adicional Noturno</t>
  </si>
  <si>
    <t>Dias Mês</t>
  </si>
  <si>
    <t>Dias Semana</t>
  </si>
  <si>
    <t>Horas Semana</t>
  </si>
  <si>
    <t xml:space="preserve">Nome da Empresa: </t>
  </si>
  <si>
    <t>Endereço da Empresa:</t>
  </si>
  <si>
    <t>Nome do Responsável:</t>
  </si>
  <si>
    <t>Dados Bancários:</t>
  </si>
  <si>
    <t>Regime</t>
  </si>
  <si>
    <t>Posto</t>
  </si>
  <si>
    <t>Tempo de Duração do Contrato:</t>
  </si>
  <si>
    <t>Regime Tributário</t>
  </si>
  <si>
    <t xml:space="preserve">CNPJ Matriz: </t>
  </si>
  <si>
    <t>Endereço eletrônico:</t>
  </si>
  <si>
    <t xml:space="preserve">Pregão Eletrônico Nº: </t>
  </si>
  <si>
    <t>Telefone:</t>
  </si>
  <si>
    <t>PREFEITURA MUNICIPAL DE PORTO ALEGRE</t>
  </si>
  <si>
    <t>Data base da categoria</t>
  </si>
  <si>
    <t xml:space="preserve">Registro no MTE </t>
  </si>
  <si>
    <t>Classificação Brasileira de Ocupações (CBO)</t>
  </si>
  <si>
    <t>Incidência no Submódulo 2.2 sobre 13º salário e Férias</t>
  </si>
  <si>
    <t>Gratificação de Função</t>
  </si>
  <si>
    <t>Descanso Semanal Remunerado</t>
  </si>
  <si>
    <t xml:space="preserve">Sobre Horas Extras  </t>
  </si>
  <si>
    <t xml:space="preserve">Sobre Adicional Noturno e Hora Noturna Reduzida </t>
  </si>
  <si>
    <t>Número de horas noturnas por dia</t>
  </si>
  <si>
    <t xml:space="preserve">Auxílio Transporte                                                   </t>
  </si>
  <si>
    <t>Valor da passagem do transporte coletivo</t>
  </si>
  <si>
    <t>Quantidade de dias do mês de recebimento</t>
  </si>
  <si>
    <t>Inclusão benefícios Mensais e Diários</t>
  </si>
  <si>
    <t>Base de incindência</t>
  </si>
  <si>
    <t>Percentual de incidência</t>
  </si>
  <si>
    <t>Incidência dos encargos do submódulo 2.2</t>
  </si>
  <si>
    <t>Artigo 457 e 458 da CLT.</t>
  </si>
  <si>
    <t>Salário Base x 30%</t>
  </si>
  <si>
    <t xml:space="preserve">Adicional Noturno </t>
  </si>
  <si>
    <t>Artigo 7º, inciso XVI, da CF/88. Artigo 59 da CLT. Súmulas 60 e 132 TST.</t>
  </si>
  <si>
    <t>Anexo II da IN RFB n. 971/09. Art. 8º, Lei n.º 8.029/90 e Lei n.º 8154/90</t>
  </si>
  <si>
    <t>Súmula 305 TST.</t>
  </si>
  <si>
    <t>Art. 129 e 130 CLT.</t>
  </si>
  <si>
    <t>Art. 7º, inciso XIX da CF. §1º do artigo 10 do ADCT. Lei n. 13.527/2016</t>
  </si>
  <si>
    <t>Art. 82 e 473 da CLT</t>
  </si>
  <si>
    <t>Intervalo para repouso ou alimentação</t>
  </si>
  <si>
    <t>Rendição no Intervalo Intrajornada</t>
  </si>
  <si>
    <t>Regras do instrumento coletivo da categoria, se houver (conforme incs. III e VIII do art. 611-A da CLT, o instrumento coletivo de trabalho tem prevalência sobre a lei). Artigo 71 da CLT. Lei 8.121/1991.</t>
  </si>
  <si>
    <t>Incidência</t>
  </si>
  <si>
    <t>Valor a Deduzir</t>
  </si>
  <si>
    <t>PIS/PASEP</t>
  </si>
  <si>
    <t>Quantidade de passagens por dia</t>
  </si>
  <si>
    <t>Participação do empregado no custo</t>
  </si>
  <si>
    <t>Forma de Pagamento do Contrato:</t>
  </si>
  <si>
    <t>(Salário base+adicionais previstos em lei ou CCT, se houver) ÷ total nº horas trabalhadas) x 1,5 x quantidade de dias trabalhados</t>
  </si>
  <si>
    <t xml:space="preserve">((Salário base+adicionais previstos em lei ou CCT, se houver)+ Submódulo 2.2 + submódulo 2.3 + Uniformes e EPI) x quantidade de dias trabalhados </t>
  </si>
  <si>
    <t>I</t>
  </si>
  <si>
    <t>Outros (especificar)</t>
  </si>
  <si>
    <t>TOTAL MÓDULO 2</t>
  </si>
  <si>
    <t>TOTAL MÓDULO 3</t>
  </si>
  <si>
    <t>TOTAL SUBMÓDULO 2.3</t>
  </si>
  <si>
    <t>TOTAL SUBMÓDULO 2.2</t>
  </si>
  <si>
    <t>TOTAL SUBMÓDULO 2.1</t>
  </si>
  <si>
    <t>TOTAL SUBMÓDULO 4.1</t>
  </si>
  <si>
    <t>TOTAL SUBMÓDULO 4.2</t>
  </si>
  <si>
    <t>TOTAL MÓDULO 4</t>
  </si>
  <si>
    <t>SINDASSEIO</t>
  </si>
  <si>
    <t>MÓDULO 2 - ENCARGOS E BENEFÍCIOS ANUAIS, MENSAIS E DIÁRIOS</t>
  </si>
  <si>
    <t>SUBMÓDULO 2.1 - 13º Salário, Férias e Adicional de Férias</t>
  </si>
  <si>
    <t>SUBMÓDULO 2.3 - Encargos e Benefícios Anuais, Mensais e Diários</t>
  </si>
  <si>
    <t>MÓDULO 3 - PROVISÃO PARA RESCISÃO</t>
  </si>
  <si>
    <t>MÓDULO 4 - CUSTO DE REPOSIÇÃO DO PROFISSIONAL AUSENTE</t>
  </si>
  <si>
    <t>SUBMÓDULO 4.2- Intervalo intrajornada</t>
  </si>
  <si>
    <t>Regime tributário</t>
  </si>
  <si>
    <t>Faixa 1</t>
  </si>
  <si>
    <t>Faixa 6</t>
  </si>
  <si>
    <t>Faixa 5</t>
  </si>
  <si>
    <t>Faixa 4</t>
  </si>
  <si>
    <t>Faixa 3</t>
  </si>
  <si>
    <t>Faixa 2</t>
  </si>
  <si>
    <t>Adicional de Troca de Uniforme</t>
  </si>
  <si>
    <t>Sobre Adicional de Troca de Uniforme</t>
  </si>
  <si>
    <t>Adicional de Hora Noturna Reduzida</t>
  </si>
  <si>
    <t>J</t>
  </si>
  <si>
    <t>Número de dias laborados a noite</t>
  </si>
  <si>
    <t>FUNDAMENTO</t>
  </si>
  <si>
    <t xml:space="preserve">Salário Base Mensal </t>
  </si>
  <si>
    <t xml:space="preserve">Adicional Periculosidade </t>
  </si>
  <si>
    <t xml:space="preserve">Adicional Insalubridade </t>
  </si>
  <si>
    <t>Salário Base x % de incidência</t>
  </si>
  <si>
    <t>(Salário base + adicionais periculosidade/insalubridade) ÷ total de horas mensais (conforme jornada de trabalho da categoria) x 20% x qtde. de horas noturnas x qtde de dias laborados a noite).</t>
  </si>
  <si>
    <t>Qtde. de horas noturnas x qtde de dias laborados a noite x 0,142857 x (Salário base + adicionais periculosidade/insalubridade) ÷ total de horas mensais x 120%</t>
  </si>
  <si>
    <t>Horas Extras (com adicionais)</t>
  </si>
  <si>
    <t>(Salário base + adicionais periculosidade/insalubridade/noturno ) ÷ total de horas mensais (conforme jornada de trabalho da categoria) x %de incidência x qtde. de horas extras mensal).</t>
  </si>
  <si>
    <t>(Adicional noturmo + Adicional de hora reduzida+Horas extras+ Adicional de troca de uniforme) x 20%</t>
  </si>
  <si>
    <t xml:space="preserve">Adicional de Troca de Uniforme </t>
  </si>
  <si>
    <t>(Salário base + adicionais periculosidade) ÷ (total de horas mensais (conforme jornada de trabalho da categoria) ÷ 6) x  qtde de dias</t>
  </si>
  <si>
    <t>Súmula nº 366 do TST</t>
  </si>
  <si>
    <t>SUBMÓDULO  2.2 - Encargos Previdenciários e FGTS e Outras Contribuições</t>
  </si>
  <si>
    <t xml:space="preserve">(Valor do Auxílio-Alimentação  x Quantidade de dias do mês de recebimento de auxílio-alimentação) - (Valor do Auxílio-Alimentação  x Quantidade de dias do mês de recebimento de auxílio-alimentação x Participação do empregado no custo ) </t>
  </si>
  <si>
    <t>Valor previsto em CCT/ACT/TR</t>
  </si>
  <si>
    <t xml:space="preserve">(Valor da passagem  x Quantidade de passagens por dia por empregado x Quantidade de dias trabalhados) - (Participação do empregado no custo x Salário base ) </t>
  </si>
  <si>
    <t>(Valor previsto em CCT/ACT x Participação do empregado no custo)</t>
  </si>
  <si>
    <t>(0,08 x 0,0042)  ≅ 0,03%</t>
  </si>
  <si>
    <t>(0,08 x 0,0042) x 0,40 ≅ 0,0134</t>
  </si>
  <si>
    <t>Total Remuneração (módulo 1) X 0,04</t>
  </si>
  <si>
    <t>((30÷30)÷12)X0,05 ≅ 0,42%</t>
  </si>
  <si>
    <t>((1÷12) x 100) ≅ 8,33%</t>
  </si>
  <si>
    <t>((1÷12) x 100) + ((1÷3) x (1÷12) x 100) ≅ 11,11%</t>
  </si>
  <si>
    <t>((1÷12) x 100)  + ((1÷12) x 100) + ((1÷3) x (1÷12) x 100) x Submódulo 2.2</t>
  </si>
  <si>
    <t>((5÷30) ÷12) x 100) ≅ 1,39%</t>
  </si>
  <si>
    <t>(((5÷30) ÷12) x 0,015 x 100) ≅ 0,02%</t>
  </si>
  <si>
    <t>(((2,96÷30) ÷12) x 100) ≅ 0,82%</t>
  </si>
  <si>
    <t>(((15÷30) ÷12) x 0,0078 x 100) ≅ 0,03%</t>
  </si>
  <si>
    <t>((1÷12)+((1÷3)x(1÷12)))x(4÷12)x0,01854033 ≅ 0,07%</t>
  </si>
  <si>
    <t xml:space="preserve">Submódulo 4.1 - Substituto nas Ausências Legais - Base de cálculo para o custo do profissional ausente (substituto): BCCPA = (Rem + 13º sal + Férias + 1/3)x Item Reposição . Conforme item 89 do Relatório do Acórdão TCU nº 1.753/2008 do Plenário e orientações SEGES/MP </t>
  </si>
  <si>
    <t>Outras remunerações  (especificar)</t>
  </si>
  <si>
    <t>Custos Indiretos</t>
  </si>
  <si>
    <t>Os tributos (ISS, COFINS e PIS) foram definidos utilizando o regime de tributação de Lucro Presumido A licitante deve elaborar sua proposta e, por conseguinte, sua planilha com base no regime de tributação ao qual estará submetida durante a execução do contrato.</t>
  </si>
  <si>
    <t>Considerando os estudos realizados, o presente modelo utiliza o percentual máximo de 10,00% para margem de lucro. NOTA TÉCNICA Nº 1/2007 – SCI, da Secretaria de Controle Interno do Supremo Tribunal Federal.</t>
  </si>
  <si>
    <t xml:space="preserve">Considerando os estudos realizados, o presente modelo utiliza o percentual máximo de 5,00% para custos indiretos. NOTA TÉCNICA Nº 1/2007 – SCI, da Secretaria de Controle Interno do Supremo Tribunal Federal </t>
  </si>
  <si>
    <t>MÓDULO 1: COMPOSIÇÃO DA REMUNERAÇÃO</t>
  </si>
  <si>
    <t>SUBMÓDULO 4.1 - Substituto nas Ausências Legais
 BCCPA: Base de cálculo para o custo do profissional ausente</t>
  </si>
  <si>
    <t>DADOS REFERENTES À CONTRATAÇÃO</t>
  </si>
  <si>
    <t>Objeto:</t>
  </si>
  <si>
    <t>Processo SEI nº:</t>
  </si>
  <si>
    <t xml:space="preserve">Pregão Eletrônico nº: </t>
  </si>
  <si>
    <t>Nº</t>
  </si>
  <si>
    <t>Adicional de Periculosidade</t>
  </si>
  <si>
    <t>Adicional de Insalubridade</t>
  </si>
  <si>
    <t xml:space="preserve">Substituto na cobertura das ausências por doença </t>
  </si>
  <si>
    <t xml:space="preserve">Substituto na cobertura nas ausências por acidente de trabalho </t>
  </si>
  <si>
    <t>Salário-Base</t>
  </si>
  <si>
    <t>Dias na Semana</t>
  </si>
  <si>
    <t>Dias no Ano</t>
  </si>
  <si>
    <t>Dias no Mês</t>
  </si>
  <si>
    <t xml:space="preserve">Meses no Ano </t>
  </si>
  <si>
    <t>Hora Normal (em minutos)</t>
  </si>
  <si>
    <t>Hora Noturna (em minutos)</t>
  </si>
  <si>
    <t>Faturamento máximo</t>
  </si>
  <si>
    <t xml:space="preserve">Percentual da faixa </t>
  </si>
  <si>
    <t>Dados Estatísticos</t>
  </si>
  <si>
    <t>Funcionários demitidos sem justa causa / Total de desligamentos (em %)</t>
  </si>
  <si>
    <t>Multa do FGTS (em %)</t>
  </si>
  <si>
    <t>Empregados que recebem aviso prévio trabalhado durante o contrato (em %)</t>
  </si>
  <si>
    <t>Empregados que recebem aviso prévio trabalhadono final  do contrato (em %)</t>
  </si>
  <si>
    <t>Dias APT pagos</t>
  </si>
  <si>
    <t>Dias de Ausências por Doença</t>
  </si>
  <si>
    <t>Dias de Licença-Paternidade</t>
  </si>
  <si>
    <t>Trabalhadores com direito a  Licença-Paternidade (%)</t>
  </si>
  <si>
    <t>Dias de Ausências Legais</t>
  </si>
  <si>
    <t>Empregados afastados por acidente de trabalho (em %)</t>
  </si>
  <si>
    <t>Dias pagos pela empresa em acidentes de trabalho</t>
  </si>
  <si>
    <t>Tempo de Licença-Maternidade</t>
  </si>
  <si>
    <t>Rateio do Custo  da Licença-Maternidade durante Vigência Contratual</t>
  </si>
  <si>
    <t>Total de empregos RS (2020)</t>
  </si>
  <si>
    <t>Mulheres empregadas RS (2020)</t>
  </si>
  <si>
    <t>Quantidade de licenças maternidade concedidas (2020)</t>
  </si>
  <si>
    <t>% Licenças maternidade concedidas</t>
  </si>
  <si>
    <t>% Mulheres empregadas RS (2020)</t>
  </si>
  <si>
    <t>MÓDULO 6 - CUSTOS INDIRETOS, LUCRO E TRIBUTOS</t>
  </si>
  <si>
    <t xml:space="preserve">Custo estimado do afastamento maternidade </t>
  </si>
  <si>
    <t>TOTAL MÓDULO 5</t>
  </si>
  <si>
    <t>TOTAL MÓDULO 6</t>
  </si>
  <si>
    <t>Aviso prévio indenizado</t>
  </si>
  <si>
    <t>VALOR TOTAL ESTIMADO DO CONTRATO</t>
  </si>
  <si>
    <t xml:space="preserve">SUBMÓDULO 2.2- Encargos Previdenciários (GPS) e FGTS </t>
  </si>
  <si>
    <t>Material Individual e Uniformes</t>
  </si>
  <si>
    <t>Material Coletivo e Equipamentos</t>
  </si>
  <si>
    <t>MÓDULO 6 - CUSTOS INDIRETOS</t>
  </si>
  <si>
    <t>Custos administrativos</t>
  </si>
  <si>
    <t>Lucros</t>
  </si>
  <si>
    <t>K</t>
  </si>
  <si>
    <t>SUBMÓDULO 6.1 - Custos administrativos e lucros</t>
  </si>
  <si>
    <t>TOTAL SUBMÓDULO 6.1</t>
  </si>
  <si>
    <t>TOTAL SUBMÓDULO 6.2</t>
  </si>
  <si>
    <t>Custos com mão de obra</t>
  </si>
  <si>
    <t>Quilometragem/litro</t>
  </si>
  <si>
    <t>Tipo de Combustível</t>
  </si>
  <si>
    <t>Preço por litro</t>
  </si>
  <si>
    <t>Custos com Óleo</t>
  </si>
  <si>
    <t>Custos com Combustível</t>
  </si>
  <si>
    <t>Custo com Pneu jogo de pneus</t>
  </si>
  <si>
    <t>Depreciação mensal</t>
  </si>
  <si>
    <t>Quantidade de veículos</t>
  </si>
  <si>
    <t>Custo de aquisição do veículo (total)</t>
  </si>
  <si>
    <t>Custos de mensalidade</t>
  </si>
  <si>
    <t>Custos de instalação (informar custo total)</t>
  </si>
  <si>
    <t>Quilômetros por mês</t>
  </si>
  <si>
    <t>Custo de aquisição do veículo</t>
  </si>
  <si>
    <t>Órgão Demandante</t>
  </si>
  <si>
    <t>Litros por troca</t>
  </si>
  <si>
    <t>Processo SEI Nº:</t>
  </si>
  <si>
    <t>Tipo de Veículo</t>
  </si>
  <si>
    <t>Porteiro</t>
  </si>
  <si>
    <t>Subtotal</t>
  </si>
  <si>
    <t>Custos Diretos</t>
  </si>
  <si>
    <t>Tributos</t>
  </si>
  <si>
    <t>Custos Administrativos</t>
  </si>
  <si>
    <t>POSTO</t>
  </si>
  <si>
    <t>CBO</t>
  </si>
  <si>
    <t>SINDICATO</t>
  </si>
  <si>
    <t>REGIME MENSAL CONVENÇÃO</t>
  </si>
  <si>
    <t>VIGÊNCA CCT</t>
  </si>
  <si>
    <t>REGISTRO M.T.E.</t>
  </si>
  <si>
    <t>AUXÍLIO ALIMENTAÇÃO (DIA)</t>
  </si>
  <si>
    <t>AUXÍLIO LANCHE</t>
  </si>
  <si>
    <t>Auxiliar de Almoxarifado</t>
  </si>
  <si>
    <t>Cozinheiro</t>
  </si>
  <si>
    <t>Auxiliar de Cozinha</t>
  </si>
  <si>
    <t>Receita Bruta</t>
  </si>
  <si>
    <t>DATA BASE</t>
  </si>
  <si>
    <t>Funcionários por posto</t>
  </si>
  <si>
    <t>Função do Posto</t>
  </si>
  <si>
    <t>L</t>
  </si>
  <si>
    <t>Valor do benefício</t>
  </si>
  <si>
    <t>Participação do empregado no custo (%)</t>
  </si>
  <si>
    <t>Custos material e equipamentos de uso coletivo</t>
  </si>
  <si>
    <t>Custos com uniformes e material individuais</t>
  </si>
  <si>
    <t>Quantidade de vales recebidos por funcionário</t>
  </si>
  <si>
    <t>Forma de substituição intrajornada</t>
  </si>
  <si>
    <t>RAT 3% x FAP 1</t>
  </si>
  <si>
    <t>ACÓRDÃO 1753/2008 - PLENÁRIO - 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(8,33/12)+(8,33/12)+(1/3x(8,33/12)) ≅ 1,62%
Para fins de cálculo a base a ser utilizada é o total da remuneração para que não haja dupla incidência de férias. adicional de férias e décimo-terceiro.</t>
  </si>
  <si>
    <t>ACÓRDÃO 6771/2009 - PRIMEIRA CÂMARA -  Estimativa de 5 (cinco) dias de licença por ano.</t>
  </si>
  <si>
    <t>ACÓRDÃO 6771/2009 - PRIMEIRA CÂMARA -  Estimativa de 1,5% (um inteiro e cinco décimos por cento) dos empregados usufruindo 5 (cinco) dias da licença por ano.</t>
  </si>
  <si>
    <t xml:space="preserve">ACÓRDÃO 1753/2008 - PLENÁRIO - Estimativa de 2,96 ausências por ano. </t>
  </si>
  <si>
    <t>ACÓRDÃO 6771/2009 - PRIMEIRA CÂMARA - Estimativa de 1 (uma) licença de 30 (trinta) dias por ano para 0,78% (setenta e oito décimos por cento) dos empregados.</t>
  </si>
  <si>
    <t>((Total submódulo 2.3 - VA - VT) x média de dias de substituição ÷ 30 ÷ 12)</t>
  </si>
  <si>
    <t>Adicional Troca Uniformes</t>
  </si>
  <si>
    <t>% Incidência = 50%</t>
  </si>
  <si>
    <t>Motorista Van</t>
  </si>
  <si>
    <t>Motorista Veículos Leves</t>
  </si>
  <si>
    <t>SINDIELV</t>
  </si>
  <si>
    <t>Seguro de Vida</t>
  </si>
  <si>
    <t>Periculosidade Adic. 30%</t>
  </si>
  <si>
    <t>Vigilante</t>
  </si>
  <si>
    <t>SINDIVIGILANTES</t>
  </si>
  <si>
    <t>Plano Benefício Familiar</t>
  </si>
  <si>
    <t>Varredor - Limpeza Urbana</t>
  </si>
  <si>
    <t>Recepcionista</t>
  </si>
  <si>
    <t>Insalubridade sobre Piso</t>
  </si>
  <si>
    <t>Aux. Limpeza, Serv. Gerais</t>
  </si>
  <si>
    <t>Copeiro</t>
  </si>
  <si>
    <t>Coletor, lixeiro</t>
  </si>
  <si>
    <t>Auxiliar de Manutenção Predial</t>
  </si>
  <si>
    <t>Auxiliar de Escritório</t>
  </si>
  <si>
    <t>Outros</t>
  </si>
  <si>
    <t>TOTAL MÓDULO 1</t>
  </si>
  <si>
    <t>Limpador Alpinista</t>
  </si>
  <si>
    <t>Operador de Rádio Chamada</t>
  </si>
  <si>
    <t>Telefonista terceirizada 180hs </t>
  </si>
  <si>
    <t>PISO NORMATIVO</t>
  </si>
  <si>
    <t>SUBMÓDULO 6.2 - Tributos</t>
  </si>
  <si>
    <t>Quantidade contratual</t>
  </si>
  <si>
    <t>Intervalo Intrajornada</t>
  </si>
  <si>
    <t>OBSERVAÇÕES</t>
  </si>
  <si>
    <t>Simples</t>
  </si>
  <si>
    <t>PROVISÃO PARA RESCISÃO</t>
  </si>
  <si>
    <t>MEMÓRIA DE CÁLCULO</t>
  </si>
  <si>
    <t>Salário Mínimo</t>
  </si>
  <si>
    <t>Salário Base</t>
  </si>
  <si>
    <t>Regime Tributário:</t>
  </si>
  <si>
    <t>Receita Bruta Anual:</t>
  </si>
  <si>
    <t>Taxa de manutenção anual</t>
  </si>
  <si>
    <t>CPF Responsável:</t>
  </si>
  <si>
    <t>Custo mensal</t>
  </si>
  <si>
    <t>Sim</t>
  </si>
  <si>
    <t>Participação do empregado no custo Vale transporte</t>
  </si>
  <si>
    <t>Participação do empregado no custo Vale refeição</t>
  </si>
  <si>
    <t>MÓDULO 5 - UNIFORMES, MATERIAIS, EQUIPAMENTOS E VEÍCULOS</t>
  </si>
  <si>
    <t>SUBMÓDULO 5.1 - Uniformes, materiais e equipamentos</t>
  </si>
  <si>
    <t>DETALHAMENTO ITEM A SUBMOD 5.2 - MANUTENÇÃO MENSAL DO VEÍCULO</t>
  </si>
  <si>
    <t>DETALHAMENTO ITEM B SUBMOD 5.2 - CUSTOS OBRIGATÓRIOS MENSAIS DO VEÍCULO</t>
  </si>
  <si>
    <t>DETALHAMENTO ITEM C SUBMOD 5.2 - REMUNERAÇÃO DO CAPITAL E DEPRECIAÇÃO MENSAL DO VEÍCULO</t>
  </si>
  <si>
    <t>Custos com Filtro Óleo</t>
  </si>
  <si>
    <t>A.1</t>
  </si>
  <si>
    <t>A.2</t>
  </si>
  <si>
    <t>A.3</t>
  </si>
  <si>
    <t>A.4</t>
  </si>
  <si>
    <t>A.5</t>
  </si>
  <si>
    <t>Preço Filtro de óleo</t>
  </si>
  <si>
    <t>B.1</t>
  </si>
  <si>
    <t>B.2</t>
  </si>
  <si>
    <t>B.3</t>
  </si>
  <si>
    <t>B.4</t>
  </si>
  <si>
    <t>B.5</t>
  </si>
  <si>
    <t>C.1</t>
  </si>
  <si>
    <t>C.2</t>
  </si>
  <si>
    <t>Custo total</t>
  </si>
  <si>
    <t>SUBMÓDULO 4.2 - Intervalo intrajornada</t>
  </si>
  <si>
    <t>Veículo A</t>
  </si>
  <si>
    <t>Veículo B</t>
  </si>
  <si>
    <t>Veículo C</t>
  </si>
  <si>
    <t>Veículo D</t>
  </si>
  <si>
    <t>Veículo E</t>
  </si>
  <si>
    <t>UNIFORMES, MATERIAIS DE USO INDIVIDUAL, CURSOS E TREINAMENTOS</t>
  </si>
  <si>
    <t>Alíquota</t>
  </si>
  <si>
    <t>Interna</t>
  </si>
  <si>
    <t>Externa</t>
  </si>
  <si>
    <t>Oficinas</t>
  </si>
  <si>
    <t>Varrição de passeios e arruamentos</t>
  </si>
  <si>
    <t>Pisos acarpetados</t>
  </si>
  <si>
    <t>Pisos Frios</t>
  </si>
  <si>
    <t>Laboratoriais</t>
  </si>
  <si>
    <t>Almoxarifados/galpões</t>
  </si>
  <si>
    <t>Pisos pavimentados adjacentes/contíguos às edificações</t>
  </si>
  <si>
    <t>Pátios e áreas verdes com alta frequência</t>
  </si>
  <si>
    <t>Pátios e áreas verdes com média frequência</t>
  </si>
  <si>
    <t>Pátios e áreas verdes com baixa frequência</t>
  </si>
  <si>
    <t>Coleta de detritos em pátios e áreas verdes com frequência diária</t>
  </si>
  <si>
    <t>Aux. Limpeza</t>
  </si>
  <si>
    <t>Sup. Limpeza</t>
  </si>
  <si>
    <t>Alpinista</t>
  </si>
  <si>
    <t>Sup. Alpinista</t>
  </si>
  <si>
    <t>Fachadas Envidraçadas</t>
  </si>
  <si>
    <t>Áreas Hospitalares e assemelhadas</t>
  </si>
  <si>
    <t>Produtividade</t>
  </si>
  <si>
    <t>QUADRO 1 - RESUMO DO CUSTO</t>
  </si>
  <si>
    <t>Custo por hora</t>
  </si>
  <si>
    <t>Custos com remuneração, encargos e benefícios</t>
  </si>
  <si>
    <t>Custos Indiretos por mês</t>
  </si>
  <si>
    <t>Custos por mês</t>
  </si>
  <si>
    <t>Custo por dia</t>
  </si>
  <si>
    <t>QUADRO 2 - PRODUTIVIDADE</t>
  </si>
  <si>
    <t>Custos contratual</t>
  </si>
  <si>
    <t>Esquadrias</t>
  </si>
  <si>
    <t>Fachada</t>
  </si>
  <si>
    <t>Hospitalar</t>
  </si>
  <si>
    <t>Face externa com exposição a situação de risco</t>
  </si>
  <si>
    <t>Face externa sem exposição a situação de risco</t>
  </si>
  <si>
    <t>Face interna</t>
  </si>
  <si>
    <t>-</t>
  </si>
  <si>
    <t>Áreas com espaços livres - saguão, hall e salão</t>
  </si>
  <si>
    <t>Banheiros</t>
  </si>
  <si>
    <t>2.A - Áreas internas</t>
  </si>
  <si>
    <t>2.B - Áreas externas</t>
  </si>
  <si>
    <t>2.C - Esquadrias externas</t>
  </si>
  <si>
    <t>2.D - Fachadas</t>
  </si>
  <si>
    <t>2.E - Áreas Hospitalares</t>
  </si>
  <si>
    <t>Total contratual</t>
  </si>
  <si>
    <t>Semanas no Mês</t>
  </si>
  <si>
    <t>Semanas no Ano</t>
  </si>
  <si>
    <t>Incidência salário</t>
  </si>
  <si>
    <t>Duração do Contrato em meses:</t>
  </si>
  <si>
    <t>QUANTIDADE CONTRATUAL POR PROFISSIONAL</t>
  </si>
  <si>
    <t>Posto A</t>
  </si>
  <si>
    <t>Posto B</t>
  </si>
  <si>
    <t>Posto C</t>
  </si>
  <si>
    <t>Posto D</t>
  </si>
  <si>
    <t>Posto E</t>
  </si>
  <si>
    <t>Qnt. de Postos</t>
  </si>
  <si>
    <t>Qnt. de Profissionais</t>
  </si>
  <si>
    <t>Tipo de Piso</t>
  </si>
  <si>
    <t>Tipo de Área</t>
  </si>
  <si>
    <t>Área (m²)</t>
  </si>
  <si>
    <t>Custo por m²</t>
  </si>
  <si>
    <t>Veículo</t>
  </si>
  <si>
    <t>Km/mês</t>
  </si>
  <si>
    <t>Qnt.</t>
  </si>
  <si>
    <t>DEMONSTRATIVO DOS CUSTOS DIRETOS E INDIRETOS</t>
  </si>
  <si>
    <t>DEMONSTRATIVO DE CUSTOS COM MÃO DE OBRA POR POSTO</t>
  </si>
  <si>
    <t>DEMONSTRATIVO DE CUSTOS COM MÃO DE OBRA POR PRODUTIVIDADE</t>
  </si>
  <si>
    <t>DEMONSTRATIVO DE CUSTOS COM LOCAÇÃO DE VEÍCULOS</t>
  </si>
  <si>
    <t>1.C - Total por veículo</t>
  </si>
  <si>
    <t>1.B - Custos por veículo</t>
  </si>
  <si>
    <t>Custos diretos por mês</t>
  </si>
  <si>
    <t>QUADRO 1 - RESUMO DOS CUSTOS</t>
  </si>
  <si>
    <t>Custos com veículos</t>
  </si>
  <si>
    <t>Motorista Caminhão</t>
  </si>
  <si>
    <t>Motorista Operador Caminhão</t>
  </si>
  <si>
    <t>Cooperativa</t>
  </si>
  <si>
    <t>Valor a depreciar</t>
  </si>
  <si>
    <t>Custo hora</t>
  </si>
  <si>
    <t>Custo dia</t>
  </si>
  <si>
    <t>Custo mês</t>
  </si>
  <si>
    <t>PLANILHA DE CUSTOS E FORMAÇÃO DE PREÇOS</t>
  </si>
  <si>
    <t>Contratação</t>
  </si>
  <si>
    <t>Mensal</t>
  </si>
  <si>
    <t>Custos com uniformes, materiais e equipamentos</t>
  </si>
  <si>
    <t>Custos por posto</t>
  </si>
  <si>
    <t>Horas mês trabalhadas</t>
  </si>
  <si>
    <t>1.A - Custos unitários</t>
  </si>
  <si>
    <t>1.C - Total Contratual</t>
  </si>
  <si>
    <t>Custo mensal do posto</t>
  </si>
  <si>
    <t>Custo mensal do profissional</t>
  </si>
  <si>
    <t>Horas mês remuneradas</t>
  </si>
  <si>
    <t>Total mensal</t>
  </si>
  <si>
    <t>Pagamento do Contrato:</t>
  </si>
  <si>
    <t>Quantidade de vistorias no período contratual</t>
  </si>
  <si>
    <t>Valor da vistoria</t>
  </si>
  <si>
    <t>Custo km rodado</t>
  </si>
  <si>
    <t>1.A - Custos por hora e quilômetro</t>
  </si>
  <si>
    <t>Custo variável por quilômetro</t>
  </si>
  <si>
    <t>Horas consideradas</t>
  </si>
  <si>
    <t>Qnt Horas</t>
  </si>
  <si>
    <t>Posto F</t>
  </si>
  <si>
    <t>Posto G</t>
  </si>
  <si>
    <t>Posto H</t>
  </si>
  <si>
    <t>Posto I</t>
  </si>
  <si>
    <t>Posto J</t>
  </si>
  <si>
    <t>Durabilidade (em Km)</t>
  </si>
  <si>
    <t xml:space="preserve">     </t>
  </si>
  <si>
    <t>Quantidade de profissional por posto</t>
  </si>
  <si>
    <t>Responsável</t>
  </si>
  <si>
    <t>Data de conclusão</t>
  </si>
  <si>
    <t>Taxa anual</t>
  </si>
  <si>
    <t>((1÷12)÷12)+((1÷12)÷12)+(1÷3x((1÷12)÷12)) ≅ 1,62%</t>
  </si>
  <si>
    <t>Regime de trabalho da convenção coletiva (mensal)</t>
  </si>
  <si>
    <t>Regime de trabalho do Contrato (semanal)</t>
  </si>
  <si>
    <t>Taxa mensal</t>
  </si>
  <si>
    <t>Outros custos (especificar)</t>
  </si>
  <si>
    <t>Custos por tipo de posto</t>
  </si>
  <si>
    <t>1.B - Total do tipo de posto (posto X quantidade)</t>
  </si>
  <si>
    <t>4h (1 dia/sem)</t>
  </si>
  <si>
    <t>6h (1 dia/sem)</t>
  </si>
  <si>
    <t>8h (1 dia/sem)</t>
  </si>
  <si>
    <t>20h (5 dia/sem)</t>
  </si>
  <si>
    <t>30h (5 dia/sem)</t>
  </si>
  <si>
    <t>35h (5 dia/sem)</t>
  </si>
  <si>
    <t>36h (6 dia/sem)</t>
  </si>
  <si>
    <t>40h (5 dia/sem)</t>
  </si>
  <si>
    <t>44h (5 dia/sem)</t>
  </si>
  <si>
    <t>44h (6 dia/sem)</t>
  </si>
  <si>
    <t>12h (2 dia/sem)</t>
  </si>
  <si>
    <t>16h (2 dia/sem)</t>
  </si>
  <si>
    <t>((7÷30)÷12) ≅ 1,94%</t>
  </si>
  <si>
    <t>Materiais e equipamentos coletivos</t>
  </si>
  <si>
    <t>CUSTOS DIRETOS COM MATERIAIS E EQUIPAMENTOS DE USO COLETIVO</t>
  </si>
  <si>
    <t>Taxa de depreciação anual</t>
  </si>
  <si>
    <t>Valor pago durante a vigência do contrato</t>
  </si>
  <si>
    <t>DEMONSTRATIVO DOS CUSTOS TOTAIS COM MATERIAIS E EQUIPAMENTOS DE USO COLETIVO</t>
  </si>
  <si>
    <t>Quantidade de postos</t>
  </si>
  <si>
    <t>Quantidade total de profissionais</t>
  </si>
  <si>
    <t>MÓDULO 5 - UNIFORMES, MATERIAIS E EQUIPAMENTOS</t>
  </si>
  <si>
    <t>Função</t>
  </si>
  <si>
    <t>Unidade</t>
  </si>
  <si>
    <t>Descrição</t>
  </si>
  <si>
    <t>Custo direto mensal</t>
  </si>
  <si>
    <t>Súmula 132 TST. Artigo 193 a 197 da CLT. Artigo 7º, inciso XXIII da CF/88. NR 16 do MTE.</t>
  </si>
  <si>
    <t>O percentual definido pelo art. 193 da CLT, deve ser calculados sobre salário base  sem os acréscimos resultantes de gratificações, prêmios ou participações nos lucros da empresa, com exceção à categoria dos eletricitários, em que o cálculo deverá ser feito sobre a totalidade das parcelas de natureza salarial.
A caracterização e a classificação da periculosidade far-se-ão por meio de perícia a cargo de Médico do Trabalho ou Engenheiro do Trabalho registrados no Ministério do Trabalho.
A Norma Regulamentadora nº 16 estabelece em seus anexos as atividades e as operações perigosas que acarretam ao recebimento do adicional de periculosidade pelo empregado.
As Leis nºs 12.740/2012 e 12.997/2014 estenderam o adicional de periculosidade, respectivamente, às atividades profissionais de segurança pessoal ou patrimonial e trabalhador em motocicleta.</t>
  </si>
  <si>
    <t>Salário Mínimo ou Base estipulado em instrumento coletivo  x (10%, 20% ou 40%)</t>
  </si>
  <si>
    <t xml:space="preserve">Regras do instrumento coletivo da categoria, se houver. Artigo 189 a 192 da CLT (10%, 20% ou 40%). Art. 7º, inc. XXIII CF/88. NR 15 do MTE. </t>
  </si>
  <si>
    <t xml:space="preserve">Os percentuais definidos pelo art. 192 da CLT, segundo as classificações nos graus máximo, médio e mínimo, devem ser calculados com base no salário mínimo, salvo critério mais vantajoso estabelecido em lei ou em instrumento coletivo de trabalho (Súmula Vinculante nº. 4). 
O direito ao recebimento do adicional somente pode ser reconhecido mediante laudo pericial que aponte estar a atividade insalubre prevista na relação oficial elaborada pelo Ministério do Trabalho, tal como definido pela NR-15 da Portaria n. 3.214 de 1978. </t>
  </si>
  <si>
    <t>Informada na Convenção Coletiva de Trabalho da categoria profissional a ser contratada ou Termo de Referência.</t>
  </si>
  <si>
    <t>Artigo 73 da CLT e artigo 7º, inciso IX da CF. Súmula nº 60 do TST e OJ nº 97 TST/SDI.</t>
  </si>
  <si>
    <t xml:space="preserve">A jornada noturna é compreendida entre 22h da noite e 05h da manhã seguinte (considerando que a hora noturna corresponde a 52min e 30 seg), com remuneração adicional de 20%, de acordo com  o Art.73 da CLT. 
Além do ad. noturno e redução da hora noturna, se houver prorrogação do horário noturno, as horas trabalhadas após as 05 horas da manhã, também serão remuneradas com adicional noturno e com aplicação da hora noturna reduzida, nos termos do art. 73, § 5º da CLT e Súmula 60, II, do TST.
Com a edição da Lei nº 13.467/2017, a reforma trabalhista, o entendimento da Súmula 60 do TST não é mais aplicado para as jornadas em turnos de revezamento 12x36, pois nesse caso, conforme § 1° do art. 59-A da CLT, serão considerados compensados dentro da jornada, sem necessidade de pagamento de adicional. </t>
  </si>
  <si>
    <t xml:space="preserve">A hora do trabalho noturno será computada como de 52 minutos e 30 segundos. </t>
  </si>
  <si>
    <t>Indispensável haver justificativa técnica no processo da necessidade de serviço superior a jornada legal e vantajosidade frente a outra solução de jornada. 
Máximo prorrogação de 2 horas por dia estabelecido no art. 59 da CLT , salvo exceções do art. 61 da CLT.</t>
  </si>
  <si>
    <t>Artigos 67 a 70 da CLT. Art. 7º, inciso XV CF/88.</t>
  </si>
  <si>
    <t>Para fins de cálculo: Dias úteis ÷ feriados e domingos ou 25÷5 =20%</t>
  </si>
  <si>
    <t>O tempo despreendido para a troca de uniforme será remunerado (5 minutos para colocar e 5 minutos para retirar) na proporção de 1/6 do valor da hora normal de trabalho. CCT Sindivigilante.</t>
  </si>
  <si>
    <t>Art. 7º, VIII, CF/88. Decreto nº. 57.155/1965. Acórdão TCU nº 6.771/2009</t>
  </si>
  <si>
    <t>Gratificação de Natal, instituída pela Lei nº 4.090/1962. O percentual dessa rubrica pode ser obtido pelo cálculo: ((1/12) x 100) = 8,33%.</t>
  </si>
  <si>
    <t>Art. 7º, XVII, CF/88. Acórdão TCU nº 6.771/2009.</t>
  </si>
  <si>
    <t>A CF/88, em seu art. 7º, inciso XVII, prevê que as férias sejam pagas com adicional de, pelo menos, 1/3 (um terço) da remuneração do mês. Assim, a provisão para atender as despesas relativas as férias e adicional de férias corresponde a: ((1/12) x 100) + ((1/3) x (1/12) x 100) ≅ 11,11%</t>
  </si>
  <si>
    <t>Sobre o somatório dos itens de custo 13º salário e férias com adicional de férias, há incidência de Encargos Previdenciários e FGTS do submódulo 2.2</t>
  </si>
  <si>
    <t>Art. 22, Inciso I, da Lei nº 8.212/91.  Lei nº 13.161/2015 - Contribuição Previdenciária sobre a Receita Bruta (CPRB).</t>
  </si>
  <si>
    <t xml:space="preserve">Os encargos previdenciários das empresas dependem: do regime de tributação adotado e segmento econômico ao qual pertencem.
</t>
  </si>
  <si>
    <t>Os encargos previdenciários das empresas dependem: do regime de tributação adotado e segmento econômico ao qual pertencem.
Simples Nacional: dispensa custos de terceiros - LC nº123/06, Art. 13, VI e §3º e Art. 18, §5º C)</t>
  </si>
  <si>
    <t>Art. 15, Lei nº 8.036/90 e Art. 7º, III.</t>
  </si>
  <si>
    <t>GILL/RAT (RAT 0,03 x FAP 1)</t>
  </si>
  <si>
    <t>Anexo V do Regulamento da Previdência Social – RPS (Decreto nº  3.048/1999) e regras de enquadramento dispostas na Instrução Normativa RFB nº 971/2009 e/ou legislação superveniente. Súmula 351 do STJ.</t>
  </si>
  <si>
    <t>Art. 22 Lei nº 8.212/1991.</t>
  </si>
  <si>
    <t>Lei n° 10.666/2003, Decreto nº 6.042/2007 e nº 6.957/2009.</t>
  </si>
  <si>
    <t>Documentos que comprovam o FAP: Documento indicativo do Fator Acidentário de Prevenção (FAPWEB), emitido preferencialmente por sítio eletrônico vinculado à Previdência Social e/ou à Dataprev (Empresa de Tecnologia e Informações da Previdência Social) ou Print E-Social ou comprovante DCTFWEb (GFIP da competência anterior à apresentação da proposta).</t>
  </si>
  <si>
    <t>Art. 458, §§ 2º e 3º, da CLT, Lei nº 6.321/76, Decreto nº 5/91 e CCT.</t>
  </si>
  <si>
    <t>Art. 458, inciso IV da CLT e CCT</t>
  </si>
  <si>
    <t>Art. 7º, XXI, CF/88. Art. 477, 487 e 491 da CLT. Lei nº 12.506/2011.</t>
  </si>
  <si>
    <t xml:space="preserve">Trata-se de valor devido ao empregado no caso de o empregador rescindir o contrato sem justo motivo e sem lhe conceder aviso prévio, conforme disposto no § 1º do art. 487 da CLT. 
De acordo com levantamento efetuado em diversos contratos, cerca de 5% do pessoal é demitido pelo empregador, antes do término do contrato de trabalho - Acórdão TCU 6.771/2009 – 1ª Câmara.
Cálculo ((1/12)x 0,05) x 100 ≅ 0,42%.
</t>
  </si>
  <si>
    <t>Art. 18 Lei 8.036/90. Art. 12 Lei 13.932/2019.</t>
  </si>
  <si>
    <t>Esse item corresponde ao valor da multa do FGTS (40%) que incide sobre o saldo dos depósitos efetuados na conta vinculada ao FGTS do trabalhador. 
Logo o pagamento da multa para os valores depositados relativos a salários, férias e 13º salário corresponde a:((0,08 x 0,0042) x 100) x 0,40 ≅ 0,0134</t>
  </si>
  <si>
    <t>Art. 7º, XXI, CF/88, 477,487 e 491 CLT. Lei 12.506/2011. Acórdão nº 1904/2007-TCU-Plenário. Acórdão nº 3006/2010-TCU-Plenário.Acórdão nº 1186/2017-TCU-Plenário</t>
  </si>
  <si>
    <t>Considera-se que será pago ao final do contrato aviso prévio a 100% dos empregados alocados. 
Assim sendo,  será considerado para o primeiro período contratual [(7/30)/12] ≅ 1,94% para 30 dias de aviso prévio no primeiro ano. 
Para cada 12 meses adicionais, será acrescido 3 dias, até o máximo,  de 60 dias, perfazendo um total de até 90 (noventa) dias. 
Ou seja (7 dias custo do APT ÷ 30 Dias do mês÷ 12 meses).
Art. 488 CLT - previsão de jornada reduzida ou a faculdade de ausência no trabalho, durante Aviso Prévio.</t>
  </si>
  <si>
    <t>Acórdãos nº 1904/2007-TCU-Plenário e nº 3006/2010-TCU-Plenário.</t>
  </si>
  <si>
    <t>Incidência dos encargos previdenciários (GPS) e FGTS sobre as provisões.Tendo em vista que os encargos do submódulo 2.2 é variável, o percentual altera conforme Regime Tributário.</t>
  </si>
  <si>
    <t>Art. 12 Lei 13.932/2019. Acórdãos nº 1904/2007-TCU-Plenário e nº 3006/2010-TCU-Plenário.</t>
  </si>
  <si>
    <t>Considerando demissão sem justa causa para 100% dos empregado. Orientação SEGES/MP.</t>
  </si>
  <si>
    <t>Art. 131 , inciso III, da CLT. Art. 476 da CLT, art. 6º, §1º, alínea "f", da Lei n. 605, de 1949, e  art. 12, alínea "f", do Decreto nº. 27.048, de 1949.</t>
  </si>
  <si>
    <t>ACÓRDÃO 1753/2008 - PLENÁRIO - Estimativa de 2,96 ausências por ano. 
Art. 473 da CLT:
I. até 2 (dois) dias consecutivos, em caso de falecimento do cônjuge, ascendente, descendente, irmão ou pessoa que, declarada em sua carteira de trabalho e previdência social, viva sob sua dependência econômica;
II. até 3 (três) dias consecutivos, em virtude de casamento;
III. por um dia, em caso de nascimento de filho no decorrer da primeira semana;
IV. por um dia, em cada 12 (doze) meses de trabalho, em caso de doação voluntária de sangue devidamente comprovada;
V. até 2 (dois) dias consecutivos ou não, para o fim de se alistar eleitor, nos termos da lei respectiva;
VI. no período de tempo em que tiver de cumprir as exigências do Serviço Militar referidas na
letra "c" do art. 65 da Lei nº 4.375, de 17 de agosto de 1964 ;
VII. nos dias em que estiver comprovadamente realizando provas de exame vestibular para ingresso em estabelecimento de ensino superior
VIII. pelo tempo que se fizer necessário, quando tiver que comparecer a juízo;
IX. pelo tempo que se fizer necessário, quando, na qualidade de representante de entidade sindical, estiver participando de reunião oficial de organismo internacional do qual o Brasil seja membro;
X. até 2 (dois) dias para acompanhar consultas médicas e exames complementares durante o período de gravidez de sua esposa ou companheira; (Incluído dada pela Lei nº 13.257, de 2016)
XI. por 1 (um) dia por ano para acompanhar filho de até 6 (seis) anos em consulta médica. (Incluído dada pela Lei nº 13.257, de 2016)</t>
  </si>
  <si>
    <t>Art. 27 do Decreto nº 89.312/84, Art. 131 da CLT e MP. 664/2014</t>
  </si>
  <si>
    <t>Art. 7º inc. XVIII, CF, Lei nº 8.213/91, art. 72 e Lei 11770/2008. Lei nº. 13.527/2016.</t>
  </si>
  <si>
    <t>(A+B+C+D+E+F) x submódulo 2.2</t>
  </si>
  <si>
    <t>Incidência dos encargos previdenciários (GPS) e FGTS sobre as provisões de substituição.</t>
  </si>
  <si>
    <t>(Módulo 3)÷12 x média de dias de substituição ÷ 30)</t>
  </si>
  <si>
    <t>Considera-se como média de dias de substituição o somatório dos 30 dias de férias, 2,96 dias de ausências legais e 5 dias de auxílio doença.</t>
  </si>
  <si>
    <t>Se não houver previsão de folguista e, consequentemente, o empregado não usufruir de seu intervalo intrajornada em razão de trabalhar em período destinado a repouso e alimentação, o valor a ser pago é da hora trabalhada acrescida de 50%, considerada a natureza indenizatória da parcela.</t>
  </si>
  <si>
    <t>Esta rubrica somente será calculada se houver reposição no período de intervalo para repouso/alimentação por um substituto durante a ausência do empregado .
Por se tratar de salário pago ao substituto, para o cálculo o valor aportado será o correspondente ao período trabalhado no intervalo, acrescido das incidências legais.</t>
  </si>
  <si>
    <t xml:space="preserve"> Art. 456-A CLT.</t>
  </si>
  <si>
    <t>Conforme pesquisa de preços.</t>
  </si>
  <si>
    <t>Para fins de orçamento é utilizada depreciação linear e prazos fixados pela Receita Federal, conforme determina IN RFB nº1.700/2017.
Para Prestação de servços de limpeza por PRODUTIVIDADE: Item 6.8 do Caderno Técnico - Prestação de Serviços de Limpeza, Asseio e Conservação Predial, do Estado de São Paulo (www.cadterc.sp.gov.br)</t>
  </si>
  <si>
    <t>Decreto Estadual nº 32.144/1985 Art. 11, Inciso IV.</t>
  </si>
  <si>
    <t>Portaria DETRAN/RS nº 54 DE 31/01/2024.</t>
  </si>
  <si>
    <t>Lei Municipal nº 13.737/2023.</t>
  </si>
  <si>
    <t>Meta da Taxa Selic.</t>
  </si>
  <si>
    <t>Instrução Normativa nº 5/2017, Anexo VI-B.</t>
  </si>
  <si>
    <t>TOTAL CONTRATUAL:</t>
  </si>
  <si>
    <t xml:space="preserve">Incidência da Multa s/ FGTS incidente no API </t>
  </si>
  <si>
    <t>((0,3680 x 0,0194) x 100) ≅  0,72%
((0,3100 x 0,0194) x 100) ≅  0,60%</t>
  </si>
  <si>
    <t>DETALHAMENTO MÓDULO 1 - MANUTENÇÃO MENSAL DO VEÍCULO</t>
  </si>
  <si>
    <t>SUBTOTAL MÓDULO</t>
  </si>
  <si>
    <t>DETALHAMENTO MÓDULO 2 - CUSTOS OBRIGATÓRIOS MENSAIS DO VEÍCULO</t>
  </si>
  <si>
    <t>SUBTOTAL MÓDULO 2</t>
  </si>
  <si>
    <t>DETALHAMENTO MÓDULO 3 - REMUNERAÇÃO DO CAPITAL E DEPRECIAÇÃO MENSAL DO VEÍCULO</t>
  </si>
  <si>
    <t>SUBTOTAL MÓDULO 3</t>
  </si>
  <si>
    <t>MÓDULO 4 - CUSTOS INDIRETOS</t>
  </si>
  <si>
    <t>SUBMÓDULO 4.1 - Custos administrativos e lucros</t>
  </si>
  <si>
    <t>SUBMÓDULO 4.2 - Tributos</t>
  </si>
  <si>
    <t>Frequência da troca (em km)</t>
  </si>
  <si>
    <t>Custo com Pneu</t>
  </si>
  <si>
    <t>Posto K</t>
  </si>
  <si>
    <t>Posto L</t>
  </si>
  <si>
    <t>Posto M</t>
  </si>
  <si>
    <t>Posto N</t>
  </si>
  <si>
    <t>Posto O</t>
  </si>
  <si>
    <t>Posto P</t>
  </si>
  <si>
    <t>Posto Q</t>
  </si>
  <si>
    <t>Posto T</t>
  </si>
  <si>
    <t>Posto R</t>
  </si>
  <si>
    <t>Posto S</t>
  </si>
  <si>
    <t>DADOS REFERENTES AOS POSTOS</t>
  </si>
  <si>
    <t xml:space="preserve"> Deve ser observado o instrumento coletivo para a fixação do percentual de desconto do empregado, conforme Instrução Normativa SEGES/MGI nº 176, de 25/11/2024.
Participação do empregado no custo não deve ultrapassar 20% do seu salário contribuição (art. 458, § 3º CLT)</t>
  </si>
  <si>
    <t xml:space="preserve"> Deve ser observado o instrumento coletivo para a fixação do percentual de desconto do empregado, conforme Instrução Normativa SEGES/MGI nº 176, de 25/11/2024.</t>
  </si>
  <si>
    <t xml:space="preserve"> Deve ser observado o instrumento coletivo, conforme Instrução Normativa SEGES/MGI nº 176, de 25/11/2024.</t>
  </si>
  <si>
    <t>Convenções Coletivas também podem determinar regras, inclusive para empregados que acumulam funções, conforme Instrução Normativa SEGES/MGI nº 176, de 25/11/2024.</t>
  </si>
  <si>
    <t>Observação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</si>
  <si>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</si>
  <si>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</si>
  <si>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</si>
  <si>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</si>
  <si>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</si>
  <si>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</si>
  <si>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</si>
  <si>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</si>
  <si>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</si>
  <si>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</si>
  <si>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</si>
  <si>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</si>
  <si>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</si>
  <si>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</si>
  <si>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</si>
  <si>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</si>
  <si>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</si>
  <si>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</si>
  <si>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</si>
  <si>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</si>
  <si>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SECRETARIA MUNICIPAL DE SEGURANÇA (SMSEG)</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</si>
  <si>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</si>
  <si>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</si>
  <si>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</si>
  <si>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</si>
  <si>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</si>
  <si>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</si>
  <si>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DA SAÚDE (SMS)</t>
  </si>
  <si>
    <t xml:space="preserve"> RS000482/2025</t>
  </si>
  <si>
    <t>IN RFB nº 2110/2022 ; art. 30 da Lei n° 8.036/90; art. 1°da Lei n° 8.154/90; art. 240 da CF/88.</t>
  </si>
  <si>
    <t>IN RFB nº 2110/2022; Decreto n.º 2.318/86.</t>
  </si>
  <si>
    <t>IN RFB nº 2110/2022; Lei nº 7.787/89; DL nº 1.146/70; Lei Complementar nº 11/71.</t>
  </si>
  <si>
    <t>IN RFB nº 2110/2022 ; art. 3°, inciso I do Decreto n° 87.043/1982; art. 15 – Lei nº 9.424/96; art. 1º § 1º - Decreto nº 6.003/2006; art. 212 § 5º da CF/88; Súmula nº 732 do STF.</t>
  </si>
  <si>
    <t>GILL/RAT é a sigla correspondente à Contribuição do Grau de Incidência de Incapacidade Laborativa decorrente dos Riscos Ambientais do Trabalho (o antigo Seguro de Acidente de Trabalho - SAT). A contribuição GILL/RAT é apurada por meio de um indicador criado pela Receita Federal: o RAT Ajustado. Sendo assim, em regra, considera-se para fins de definição da planilha modelo que GILL/RAT = SAT = RAT Ajustado. O cálculo do RAT ajustado é feito mediante aplicação da fórmula: RAT ajustado = RAT x FAP. A aplicação mínima ou máxima do FAP (0,5 a 2,00) sobre as alíquotas do RAT (1% a 3%) levará o percentual ajustado do RAT a uma variação entre 0,5% a 6%. A licitante deve preencher o item G do Submódulo 2.2 das planilhas analíticas de custos e formação de preços com o valor de seu RAT ajustado comprovando o percentual indicado no momento da apresentação da proposta na forma prescrita no edital e nestas notas explicativas.
RAT (Riscos Ambientais do Trabalho) contém as alíquotas de 1%, 2% ou 3%, apurada com base na atividade preponderante da empresa (CNAE), deverá ser esclarecida e comprovada quando solicitado pelo pregoeiro, conforme Anexo V do Regulamento da Previdência Social – RPS (Decreto n. 3.048/1999) e regras de  enquadramento dispostas na IN RFB nº 2110/2022 e/ou legislação superveniente.
FAP (Fator Acidentário de Prevenção) multiplicador variável num intervalo de 0,5 a 2,00 calculado anualmente pelo INSS considerando o número de acidentes do trabalho e doenças profissionais de cada empresa (Decreto nº 6.957/2009). Essa alíquota deverá ser comprovada mediante a apresentação do multiplicador FAP (FapWeb) vigente no momento da contratação, cujo valor é obtido no site da previdência social por meio de acesso individual da proponente.</t>
  </si>
  <si>
    <t xml:space="preserve">Anuário RAIS do Ministério do Trabalho - Durante a licença, o salário maternidade e a parcela do décimo terceiro salário correspondente ao período da licença é custeado pelo INSS (Art. 59 IN RFB nº 2110/2022). Cabe à empresa a provisão relativa a férias (1/12) e adicional de férias (1/3 x 1/12) e as contribuições previdenciárias sobre o período de licença .
A remuneração do substituto, acrescida de todos os encargos, é justamente a remuneração da trabalhadora substituída no período (vide Módulo 1 e Submódulo 2.2). 
Portanto o custo do afastamento é dado pela seguinte fórmula aplicada sobre a remuneração: [(1/12) + (1/3 x 1/12)] x 100  ≅ 11,11%
Rateio do Custo durante Vigência Contratual: Divisão proporcional do custo de 4 (quatro) meses de licença por ano (base do % de ocorrências): (4 meses de licença) ÷ (12 meses) x 100 = 33,33%
Número Estimado de Ocorrências: Conforme Anuário Estatístico da RAIS, elaborado pelo Ministério do Trabalho, as mulheres representaram cerca de 46,2122% do total de empregos no Rio Grande do Sul (1.303.632 do total de 2.820.968). 
Já o Anuário Estatístico da Previdência Social dispõe que foi concedida a quantidade de 52.313 salários-maternidade no âmbito do Rio Grande do Sul em 2020. Essa quantidade representa cerca de 4,0129% do total de mulheres empregadas no Rio Grande do Sul no mesmo período. 
Portanto, a estimativa de uma determinada empregada usurfruir 4 (quatro) meses de licença a cada ano de execução contratual é de 0,462122 x 0,04012 x 100  ≅ 1,854033% de empregadas afastadas
Selecione "Empregos em 31/12", depois "Por Área Geográfica e Sexo" e depois os atributos "Ano igual a 2020"; "Região Natural igual a 4 -SUL"; "UF igual a RIO GRANDE DO SUL".  Anuário Estatístico da Previdência Social   Anuário Estatístico da Previdência Social.  Clicar em 2020: "Download tabelas". No arquivo que abrir, clique na pasta "AEPS 2020 - SECAO I - Benefícios ", depois em "Concedidos", depois em "20C4_01" </t>
  </si>
  <si>
    <t>Pátios e áreas verdes com alta frequência (semanal)</t>
  </si>
  <si>
    <t>Pátios e áreas verdes com média frequência (quinzenal)</t>
  </si>
  <si>
    <t>Pátios e áreas verdes com baixa frequência (mensal)</t>
  </si>
  <si>
    <t>Face externa com exposição a situação de risco (trimestral)</t>
  </si>
  <si>
    <t>Face externa - sem exposição a situação de risco (trimestral)</t>
  </si>
  <si>
    <t>Face interna - sem exposição a situação de risco (quinzenal)</t>
  </si>
  <si>
    <t>2.1 - Áreas internas</t>
  </si>
  <si>
    <t>1.A</t>
  </si>
  <si>
    <t>1.B</t>
  </si>
  <si>
    <t>1.C</t>
  </si>
  <si>
    <t>1.D</t>
  </si>
  <si>
    <t>1.E</t>
  </si>
  <si>
    <t>1.F</t>
  </si>
  <si>
    <t>1.G</t>
  </si>
  <si>
    <t>2.2 - Áreas externas</t>
  </si>
  <si>
    <t>2.A</t>
  </si>
  <si>
    <t>2.B</t>
  </si>
  <si>
    <t>2.C</t>
  </si>
  <si>
    <t>2.D</t>
  </si>
  <si>
    <t>2.E</t>
  </si>
  <si>
    <t>2.F</t>
  </si>
  <si>
    <t>2.3 - Esquadrias externas</t>
  </si>
  <si>
    <t>3.A</t>
  </si>
  <si>
    <t>3.B</t>
  </si>
  <si>
    <t>3.C</t>
  </si>
  <si>
    <t>2.4 - Fachadas</t>
  </si>
  <si>
    <t>4.A</t>
  </si>
  <si>
    <t>2.5 - Áreas Hospitalares</t>
  </si>
  <si>
    <t>5.A</t>
  </si>
  <si>
    <t>Dias úteis no Mês</t>
  </si>
  <si>
    <t>Área contratada</t>
  </si>
  <si>
    <t>Fachadas Envidraçadas (trimestral)</t>
  </si>
  <si>
    <t>Custo m²/mês</t>
  </si>
  <si>
    <t>Quinzenas no Mês</t>
  </si>
  <si>
    <t>Horas mês dia</t>
  </si>
  <si>
    <t>Para fins de interpretação do índica de produtividade, entende-se quee representa a quantidade de metros quadrados mantidos limpos por um trabalhador com em jornada diária de 8h. Para os tipos de áreas sem indicação de frequência ou com indicação de frequência diária, considera-se que a limpeza terá atividades diárias de segunda a sexta com jornada média de 8h por dia. Para as atividades com frequência semanal, a produtividade indica uma jornada de 8h por semana, considerando 52,18 semanas por ano, ou 4,33 por mês. Para a frequência quinzenal, considera-se uma jornada de trabalho de 8h em semanas intercaladas, ou seja, 26,09 semanas anuais, ou 2,17 por mês. A frequência mensal considera uma jornada de 8h de limpeza por mês, ou 12 por ano. Frequência trimestral considera uma jornada de 8h a cada 3 meses, 4 por ano ou 1/3 por mês. Valores conforme tabela "Equivalencia temporal".</t>
  </si>
  <si>
    <t>Equivalência temporal</t>
  </si>
  <si>
    <t>IPVA (anual)</t>
  </si>
  <si>
    <t>Seguro contra terceiros (anual)</t>
  </si>
  <si>
    <t>Quantidade de licenciamentos no período contratual</t>
  </si>
  <si>
    <t>Valor do licenciamento</t>
  </si>
  <si>
    <t>Quantidade de Instalações no período contratual</t>
  </si>
  <si>
    <t>Especificação do Objeto</t>
  </si>
  <si>
    <t>Valor Unit. (R$)</t>
  </si>
  <si>
    <t>APITO COM CORDÃO</t>
  </si>
  <si>
    <t>BLAZER EM MICROFIBRA</t>
  </si>
  <si>
    <t>BLUSA/SUETER DECOTE V</t>
  </si>
  <si>
    <t xml:space="preserve">BLUSÃO EM MOLETOM </t>
  </si>
  <si>
    <t xml:space="preserve">CALÇA SOCIAL EM MICROFIBRA </t>
  </si>
  <si>
    <t>CAMISA SOCIAL MANGA CURTA EM ALGODÃO</t>
  </si>
  <si>
    <t>CAMISA SOCIAL MANGA LONGA EM ALGODÃO</t>
  </si>
  <si>
    <t xml:space="preserve">CAMISETA MANGA CURTA EM ALGODÃO </t>
  </si>
  <si>
    <t xml:space="preserve">CAMISETA MANGA LONGA EM ALGODÃO </t>
  </si>
  <si>
    <t>CAPA DE CHUVA MANGA LONGA COM CAPUZ</t>
  </si>
  <si>
    <t>CAPA DE COLETE BALÍSTICO</t>
  </si>
  <si>
    <t>COLETE BALÍSTICO</t>
  </si>
  <si>
    <t>GRAVATA OU LENÇO PARA PESCOÇO</t>
  </si>
  <si>
    <t>JAQUETA PARA CÂMARA FRIA</t>
  </si>
  <si>
    <t>LUVA DE PVC COM FORRO ANTIDERRAPANTE</t>
  </si>
  <si>
    <t>LUVA DE VINIL TRANSPARENTE ATÓXICA</t>
  </si>
  <si>
    <t>LUVA DE PVC CANO LONGO 70 CM</t>
  </si>
  <si>
    <t>LUVA TÉRMICA DE SEGURANÇA</t>
  </si>
  <si>
    <t>MÁSCARA CIRÚRGICA TRIPLA DESCARTÁVEL</t>
  </si>
  <si>
    <t>MÁSCARA FACIAL PFF2  OU N95</t>
  </si>
  <si>
    <t>ÓCULOS DE SEGURANÇA</t>
  </si>
  <si>
    <t>PROTETOR SOLAR COM FPS 50, FRASCO COM 120ML</t>
  </si>
  <si>
    <t>TOUCA DESCARTÁVEL COM ELÁSTICO</t>
  </si>
  <si>
    <t>Peça</t>
  </si>
  <si>
    <t>BINÓCULO</t>
  </si>
  <si>
    <t>CASSETETE PR 24 E SUPORTE</t>
  </si>
  <si>
    <t>Conjunto</t>
  </si>
  <si>
    <t>CONTROLE DIGITAL DE PONTO</t>
  </si>
  <si>
    <t>LANTERNA RECARREGÁVEL 19 LEDS</t>
  </si>
  <si>
    <t>PLACA DE SINALIZAÇÃO DE PISO MOLHADO</t>
  </si>
  <si>
    <t>PLANO DE TELEFONIA (CONTROLE COM LIGAÇÕES ILIMITADAS)</t>
  </si>
  <si>
    <t>TELEFONE CELULAR</t>
  </si>
  <si>
    <t>CINTO DE GUARNIÇÃO COM PORTA CASSETETE</t>
  </si>
  <si>
    <t>Tempo  de substituição intrajornada (minutos)</t>
  </si>
  <si>
    <t>peça</t>
  </si>
  <si>
    <t>AVENTAL DE NAPA</t>
  </si>
  <si>
    <t>AVENTAL EM TERGAL</t>
  </si>
  <si>
    <t xml:space="preserve">AVENTAL IMPERMEÁVEL EM PVC </t>
  </si>
  <si>
    <t>BOTA DE SEGURANÇA EM PVC, CANO ¾ , SOLADO ANTIDERRAPANTE</t>
  </si>
  <si>
    <t>par</t>
  </si>
  <si>
    <t xml:space="preserve">BOTA DE SEGURANÇA EM VAQUETA HIDROFUGADA </t>
  </si>
  <si>
    <t>CALÇADO DE SEGURANÇA HIDROFUGADO</t>
  </si>
  <si>
    <t>CALÇADO SOCIAL</t>
  </si>
  <si>
    <t xml:space="preserve">CALÇA OPERACIONAL EM BRIM </t>
  </si>
  <si>
    <t>CINTO (NYLON/COURO)</t>
  </si>
  <si>
    <t xml:space="preserve">JALECO MANGA CURTA BRANCO EM ALGODÃO </t>
  </si>
  <si>
    <t>JALECO  MANGA LONGA BRANCO EM ALGODÃO</t>
  </si>
  <si>
    <t>JAPONA/JAQUETA</t>
  </si>
  <si>
    <t>LUVA DE RASPA DE COURO/VAQUETA</t>
  </si>
  <si>
    <t>MEIA (ALGODÃO, SOCIAL, FINA 3/4 OU MEIA-CALÇA)</t>
  </si>
  <si>
    <t>frasco</t>
  </si>
  <si>
    <t>SAPATO SOCIAL</t>
  </si>
  <si>
    <t>TOUCA EM TELA DE FILÓ</t>
  </si>
  <si>
    <t>mês</t>
  </si>
  <si>
    <t>LIVRO DE OCORRÊNCIAS</t>
  </si>
  <si>
    <t>MUNIÇÃO CALIBRE .38</t>
  </si>
  <si>
    <t>COLDRE</t>
  </si>
  <si>
    <t>JET LOADER</t>
  </si>
  <si>
    <t>Data base para atualização: 05/12/2025</t>
  </si>
  <si>
    <t>Preços oriundos da planilha 36929258 - Processo 24.0.000078625-6</t>
  </si>
  <si>
    <t>REVÓLVER CALIBRE 38</t>
  </si>
  <si>
    <t>Preços oriundos da planilha 36928703 e 36964364 - Processo 24.0.000078625-6</t>
  </si>
  <si>
    <t>Produtividade mensal da eq. Referência</t>
  </si>
  <si>
    <t>Area total anual (m²)</t>
  </si>
  <si>
    <t>Custo médio mensal</t>
  </si>
  <si>
    <t>Roçada, capina e limpeza de áreas externas</t>
  </si>
  <si>
    <t xml:space="preserve">Salário mensal definido em acordo, dissídio ou convenção coletiva de trabalho no momento da publicação do edital, conforme Instrução Normativa SEGES/MGI nº 176, de 25/11/2024.
Na ausência de normativos legais ou coletivos fixando o piso salarial de determinada categoria profissional, o valor do salário de referência poderá ser aquele definido pelo próprio mercado, podendo assumir o valor do salário mínimo. Excepciona-se dessa regra o posto de engenheiro, cuja remuneração mínima é regulamentada pela Lei nº 4.950-A/1966, que estabelece piso salarial correspondente a seis salários mínimos para jornada de até 6 (seis) horas diárias.
Importante ressaltar que a planilha de custos é baseada em empregados mensalistas, desse modo consideram-se já remunerados os dias de repouso semanal no salário mensal nos termos do § 2º do art. 7º da Lei 605/1949.
 </t>
  </si>
  <si>
    <t>RS000041/2026</t>
  </si>
  <si>
    <t>Nota de Controle Interno nº 002_2025 - Processo 25.0.000125249-9</t>
  </si>
  <si>
    <t>25h (5 dia/sem)</t>
  </si>
  <si>
    <t>Art. 4º, § único, da Lei nº 7.418/85 e Decreto Municipal nº 23.669/2026, Art. 1º, inciso I.</t>
  </si>
  <si>
    <t xml:space="preserve">CRACHÁ DE IDENTIFICAÇÃO </t>
  </si>
  <si>
    <t>Complementar - motorista</t>
  </si>
  <si>
    <t>Custo totais mensais</t>
  </si>
  <si>
    <t>Custo do pneu</t>
  </si>
  <si>
    <t>RS000776/2026</t>
  </si>
  <si>
    <t>PROPOSTA</t>
  </si>
  <si>
    <t>Demonstrativo dos custos</t>
  </si>
  <si>
    <t>Demonstrativo dos custos diretos e indiretos</t>
  </si>
  <si>
    <t>Os custos relativos à mão de obra por posto, aos materiais e equipamentos, aos veículos e à mão de obra por produtividade são apresentados em quadros específicos. Os valores informados contemplam, de forma consolidada, os custos diretos e indiretos.</t>
  </si>
  <si>
    <t>Os valores informados são apresentados de forma discriminada, com a segregação entre custos diretos e indiretos</t>
  </si>
  <si>
    <t>26.0.000045140-0</t>
  </si>
  <si>
    <t>Contratação de empresa para a prestação de serviços de locação de 01 (um) veículo tipo van, com motorista, destinado à Secretaria Municipal de Saúde de Porto Alegre.</t>
  </si>
  <si>
    <t>Diego Rocha Machado</t>
  </si>
  <si>
    <t>Veículo tipo Van mín. 14 passageiros</t>
  </si>
  <si>
    <t>Diesel</t>
  </si>
</sst>
</file>

<file path=xl/styles.xml><?xml version="1.0" encoding="utf-8"?>
<styleSheet xmlns="http://schemas.openxmlformats.org/spreadsheetml/2006/main" xmlns:mc="http://schemas.openxmlformats.org/markup-compatibility/2006" xmlns:x14ac="http://schemas.microsoft.com/office/spreadsheetml/2009/9/ac" mc:Ignorable="x14ac">
  <numFmts count="46">
    <numFmt numFmtId="44" formatCode="_-&quot;R$&quot;\ * #,##0.00_-;\-&quot;R$&quot;\ * #,##0.00_-;_-&quot;R$&quot;\ * &quot;-&quot;??_-;_-@_-"/>
    <numFmt numFmtId="43" formatCode="_-* #,##0.00_-;\-* #,##0.00_-;_-* &quot;-&quot;??_-;_-@_-"/>
    <numFmt numFmtId="164" formatCode="_(* #,##0.00_);_(* \(#,##0.00\);_(* &quot;-&quot;??_);_(@_)"/>
    <numFmt numFmtId="165" formatCode="_(&quot;R$&quot;* #,##0.00_);_(&quot;R$&quot;* \(#,##0.00\);_(&quot;R$&quot;* &quot;-&quot;??_);_(@_)"/>
    <numFmt numFmtId="166" formatCode="0.000%"/>
    <numFmt numFmtId="167" formatCode="00\ &quot;meses&quot;"/>
    <numFmt numFmtId="168" formatCode="0\ &quot;horas&quot;"/>
    <numFmt numFmtId="169" formatCode="0\ &quot;dias&quot;"/>
    <numFmt numFmtId="170" formatCode="_(&quot;R$ &quot;* #,##0.00_);_(&quot;R$ &quot;* \(#,##0.00\);_(&quot;R$ &quot;* &quot;-&quot;??_);_(@_)"/>
    <numFmt numFmtId="171" formatCode="_([$€-2]* #,##0.00_);_([$€-2]* \(#,##0.00\);_([$€-2]* &quot;-&quot;??_)"/>
    <numFmt numFmtId="172" formatCode="_-&quot;R$&quot;* #,##0.00_-;\-&quot;R$&quot;* #,##0.00_-;_-&quot;R$&quot;* &quot;-&quot;??_-;_-@_-"/>
    <numFmt numFmtId="173" formatCode="_(* #,##0.00_);_(* \(#,##0.00\);_(* \-??_);_(@_)"/>
    <numFmt numFmtId="174" formatCode="[$-416]General"/>
    <numFmt numFmtId="175" formatCode="[$-416]0%"/>
    <numFmt numFmtId="176" formatCode="#,##0.00&quot; &quot;;&quot; (&quot;#,##0.00&quot;)&quot;;&quot; -&quot;#&quot; &quot;;@&quot; &quot;"/>
    <numFmt numFmtId="177" formatCode="[$R$-416]&quot; &quot;#,##0.00;[Red]&quot;-&quot;[$R$-416]&quot; &quot;#,##0.00"/>
    <numFmt numFmtId="178" formatCode="0\ &quot;dias&quot;\ "/>
    <numFmt numFmtId="179" formatCode="0\ &quot;meses&quot;\ "/>
    <numFmt numFmtId="180" formatCode="0.00\ &quot;dias&quot;\ "/>
    <numFmt numFmtId="181" formatCode="_-* #,##0_-;\-* #,##0_-;_-* &quot;-&quot;??_-;_-@_-"/>
    <numFmt numFmtId="182" formatCode="#,##0\ &quot;Km&quot;"/>
    <numFmt numFmtId="183" formatCode="#,##0\ &quot;meses&quot;"/>
    <numFmt numFmtId="184" formatCode="#,##0&quot;h&quot;"/>
    <numFmt numFmtId="185" formatCode="0.00\ &quot;horas&quot;"/>
    <numFmt numFmtId="186" formatCode="0%\ &quot;anual&quot;"/>
    <numFmt numFmtId="187" formatCode="#,##0.0\ &quot;Km/L&quot;"/>
    <numFmt numFmtId="188" formatCode="0&quot;h&quot;"/>
    <numFmt numFmtId="189" formatCode="0.00\ &quot;L&quot;"/>
    <numFmt numFmtId="190" formatCode="0.0%"/>
    <numFmt numFmtId="191" formatCode="#,##0.0\ &quot;m²&quot;"/>
    <numFmt numFmtId="192" formatCode="0.0000"/>
    <numFmt numFmtId="193" formatCode="0.00000"/>
    <numFmt numFmtId="194" formatCode="#,##0.00\ &quot;m²&quot;"/>
    <numFmt numFmtId="195" formatCode="_-&quot;R$&quot;\ * #,##0.00000000_-;\-&quot;R$&quot;\ * #,##0.00000000_-;_-&quot;R$&quot;\ * &quot;-&quot;??_-;_-@_-"/>
    <numFmt numFmtId="196" formatCode="#\ &quot;h&quot;"/>
    <numFmt numFmtId="197" formatCode="#,##0.00\ &quot;km&quot;"/>
    <numFmt numFmtId="198" formatCode="0\ &quot;h&quot;"/>
    <numFmt numFmtId="199" formatCode="0.000"/>
    <numFmt numFmtId="200" formatCode="_-&quot;R$&quot;\ * #,##0.000_-;\-&quot;R$&quot;\ * #,##0.000_-;_-&quot;R$&quot;\ * &quot;-&quot;??_-;_-@_-"/>
    <numFmt numFmtId="201" formatCode="0.00000000000000\ &quot;meses&quot;\ "/>
    <numFmt numFmtId="202" formatCode="_-&quot;R$&quot;\ * #,##0.0000_-;\-&quot;R$&quot;\ * #,##0.0000_-;_-&quot;R$&quot;\ * &quot;-&quot;??_-;_-@_-"/>
    <numFmt numFmtId="203" formatCode="_-&quot;R$&quot;\ * #,##0.0000000_-;\-&quot;R$&quot;\ * #,##0.0000000_-;_-&quot;R$&quot;\ * &quot;-&quot;??_-;_-@_-"/>
    <numFmt numFmtId="204" formatCode="&quot;R$&quot;\ #,##0.00"/>
    <numFmt numFmtId="205" formatCode="00,000.00\ &quot;m²&quot;"/>
    <numFmt numFmtId="206" formatCode="0.00000000"/>
    <numFmt numFmtId="207" formatCode="_-&quot;R$&quot;\ * #,##0.0000_-;\-&quot;R$&quot;\ * #,##0.0000_-;_-&quot;R$&quot;\ * &quot;-&quot;????_-;_-@_-"/>
  </numFmts>
  <fonts count="46">
    <font>
      <sz val="11"/>
      <color theme="1"/>
      <name val="Calibri"/>
      <family val="2"/>
      <scheme val="minor"/>
    </font>
    <font>
      <sz val="11"/>
      <color theme="1"/>
      <name val="Calibri"/>
      <family val="2"/>
      <scheme val="minor"/>
    </font>
    <font>
      <sz val="11"/>
      <color theme="0"/>
      <name val="Calibri"/>
      <family val="2"/>
      <scheme val="minor"/>
    </font>
    <font>
      <sz val="10"/>
      <name val="Arial"/>
      <family val="2"/>
    </font>
    <font>
      <sz val="10"/>
      <name val="Arial"/>
      <family val="2"/>
    </font>
    <font>
      <sz val="11"/>
      <color theme="1"/>
      <name val="Arial"/>
      <family val="2"/>
    </font>
    <font>
      <b/>
      <sz val="11"/>
      <color theme="1"/>
      <name val="Calibri"/>
      <family val="2"/>
      <scheme val="minor"/>
    </font>
    <font>
      <sz val="11"/>
      <name val="Calibri"/>
      <family val="2"/>
      <scheme val="minor"/>
    </font>
    <font>
      <b/>
      <sz val="11"/>
      <name val="Calibri"/>
      <family val="2"/>
      <scheme val="minor"/>
    </font>
    <font>
      <b/>
      <sz val="20"/>
      <color theme="1"/>
      <name val="Calibri"/>
      <family val="2"/>
    </font>
    <font>
      <b/>
      <sz val="16"/>
      <color theme="1"/>
      <name val="Calibri"/>
      <family val="2"/>
    </font>
    <font>
      <b/>
      <sz val="11"/>
      <color theme="0"/>
      <name val="Calibri"/>
      <family val="2"/>
      <scheme val="minor"/>
    </font>
    <font>
      <sz val="11"/>
      <color indexed="8"/>
      <name val="Calibri"/>
      <family val="2"/>
    </font>
    <font>
      <sz val="10"/>
      <color theme="1"/>
      <name val="Arial"/>
      <family val="2"/>
    </font>
    <font>
      <i/>
      <sz val="11"/>
      <color theme="1"/>
      <name val="Calibri"/>
      <family val="2"/>
      <scheme val="minor"/>
    </font>
    <font>
      <sz val="11"/>
      <color rgb="FF000000"/>
      <name val="Calibri"/>
      <family val="2"/>
      <charset val="1"/>
    </font>
    <font>
      <sz val="11"/>
      <color rgb="FF000000"/>
      <name val="Calibri"/>
      <family val="2"/>
    </font>
    <font>
      <sz val="11"/>
      <color rgb="FF000000"/>
      <name val="Arial1"/>
    </font>
    <font>
      <b/>
      <i/>
      <sz val="16"/>
      <color rgb="FF000000"/>
      <name val="Arial1"/>
    </font>
    <font>
      <b/>
      <i/>
      <u/>
      <sz val="11"/>
      <color rgb="FF000000"/>
      <name val="Arial1"/>
    </font>
    <font>
      <sz val="10"/>
      <color theme="1"/>
      <name val="Calibri"/>
      <family val="2"/>
    </font>
    <font>
      <b/>
      <sz val="18"/>
      <color indexed="56"/>
      <name val="Cambria"/>
      <family val="2"/>
    </font>
    <font>
      <b/>
      <sz val="15"/>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3"/>
      <color indexed="56"/>
      <name val="Calibri"/>
      <family val="2"/>
    </font>
    <font>
      <b/>
      <sz val="11"/>
      <color indexed="56"/>
      <name val="Calibri"/>
      <family val="2"/>
    </font>
    <font>
      <b/>
      <sz val="11"/>
      <color indexed="8"/>
      <name val="Calibri"/>
      <family val="2"/>
    </font>
    <font>
      <b/>
      <sz val="14"/>
      <color theme="9" tint="-0.249977111117893"/>
      <name val="Calibri"/>
      <family val="2"/>
      <scheme val="minor"/>
    </font>
    <font>
      <b/>
      <sz val="14"/>
      <color theme="0"/>
      <name val="Calibri"/>
      <family val="2"/>
      <scheme val="minor"/>
    </font>
    <font>
      <b/>
      <sz val="11"/>
      <color theme="4" tint="-0.249977111117893"/>
      <name val="Calibri"/>
      <family val="2"/>
      <scheme val="minor"/>
    </font>
    <font>
      <sz val="8"/>
      <color rgb="FF000000"/>
      <name val="Segoe UI"/>
      <family val="2"/>
    </font>
    <font>
      <sz val="11"/>
      <color rgb="FF000000"/>
      <name val="Calibri"/>
      <family val="2"/>
      <scheme val="minor"/>
    </font>
    <font>
      <i/>
      <sz val="11"/>
      <name val="Calibri"/>
      <family val="2"/>
      <scheme val="minor"/>
    </font>
    <font>
      <u/>
      <sz val="11"/>
      <color theme="10"/>
      <name val="Calibri"/>
      <family val="2"/>
      <scheme val="minor"/>
    </font>
    <font>
      <sz val="9"/>
      <color indexed="81"/>
      <name val="Segoe UI"/>
      <family val="2"/>
    </font>
    <font>
      <sz val="8"/>
      <name val="Calibri"/>
      <family val="2"/>
      <scheme val="minor"/>
    </font>
  </fonts>
  <fills count="41">
    <fill>
      <patternFill patternType="none"/>
    </fill>
    <fill>
      <patternFill patternType="gray125"/>
    </fill>
    <fill>
      <patternFill patternType="solid">
        <fgColor theme="4" tint="0.59999389629810485"/>
        <bgColor indexed="65"/>
      </patternFill>
    </fill>
    <fill>
      <patternFill patternType="solid">
        <fgColor theme="8" tint="0.59999389629810485"/>
        <bgColor indexed="65"/>
      </patternFill>
    </fill>
    <fill>
      <patternFill patternType="solid">
        <fgColor theme="6" tint="0.39997558519241921"/>
        <bgColor indexed="65"/>
      </patternFill>
    </fill>
    <fill>
      <patternFill patternType="solid">
        <fgColor theme="0"/>
        <bgColor indexed="64"/>
      </patternFill>
    </fill>
    <fill>
      <patternFill patternType="solid">
        <fgColor theme="0"/>
        <bgColor theme="0"/>
      </patternFill>
    </fill>
    <fill>
      <patternFill patternType="solid">
        <fgColor theme="4"/>
      </patternFill>
    </fill>
    <fill>
      <patternFill patternType="solid">
        <fgColor theme="7" tint="0.39997558519241921"/>
        <bgColor indexed="65"/>
      </patternFill>
    </fill>
    <fill>
      <patternFill patternType="solid">
        <fgColor theme="9" tint="0.39997558519241921"/>
        <bgColor indexed="65"/>
      </patternFill>
    </fill>
    <fill>
      <patternFill patternType="solid">
        <fgColor theme="4" tint="0.79998168889431442"/>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theme="4"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theme="8"/>
        <bgColor indexed="64"/>
      </patternFill>
    </fill>
  </fills>
  <borders count="98">
    <border>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diagonal/>
    </border>
    <border>
      <left/>
      <right style="thin">
        <color theme="0"/>
      </right>
      <top style="thin">
        <color theme="0"/>
      </top>
      <bottom/>
      <diagonal/>
    </border>
    <border>
      <left/>
      <right style="thin">
        <color theme="0"/>
      </right>
      <top/>
      <bottom style="thin">
        <color theme="0"/>
      </bottom>
      <diagonal/>
    </border>
    <border>
      <left/>
      <right/>
      <top style="thin">
        <color theme="0"/>
      </top>
      <bottom style="thin">
        <color theme="0"/>
      </bottom>
      <diagonal/>
    </border>
    <border>
      <left style="thin">
        <color theme="0"/>
      </left>
      <right/>
      <top/>
      <bottom/>
      <diagonal/>
    </border>
    <border>
      <left/>
      <right/>
      <top/>
      <bottom style="thin">
        <color theme="0"/>
      </bottom>
      <diagonal/>
    </border>
    <border>
      <left style="thin">
        <color theme="0"/>
      </left>
      <right style="thin">
        <color theme="0"/>
      </right>
      <top/>
      <bottom/>
      <diagonal/>
    </border>
    <border>
      <left/>
      <right style="thin">
        <color theme="0"/>
      </right>
      <top/>
      <bottom/>
      <diagonal/>
    </border>
    <border>
      <left/>
      <right/>
      <top/>
      <bottom style="thick">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theme="0"/>
      </right>
      <top style="thin">
        <color indexed="64"/>
      </top>
      <bottom/>
      <diagonal/>
    </border>
    <border>
      <left style="thin">
        <color indexed="64"/>
      </left>
      <right style="thin">
        <color theme="0"/>
      </right>
      <top/>
      <bottom/>
      <diagonal/>
    </border>
    <border>
      <left style="thin">
        <color indexed="64"/>
      </left>
      <right style="thin">
        <color theme="0"/>
      </right>
      <top/>
      <bottom style="thin">
        <color indexed="64"/>
      </bottom>
      <diagonal/>
    </border>
    <border>
      <left style="thin">
        <color theme="0"/>
      </left>
      <right/>
      <top/>
      <bottom style="thin">
        <color indexed="64"/>
      </bottom>
      <diagonal/>
    </border>
    <border>
      <left style="thin">
        <color theme="0"/>
      </left>
      <right/>
      <top style="thin">
        <color indexed="64"/>
      </top>
      <bottom/>
      <diagonal/>
    </border>
    <border>
      <left style="thin">
        <color theme="0"/>
      </left>
      <right/>
      <top/>
      <bottom style="hair">
        <color indexed="64"/>
      </bottom>
      <diagonal/>
    </border>
    <border>
      <left style="thin">
        <color theme="0"/>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theme="0"/>
      </left>
      <right/>
      <top style="thin">
        <color indexed="64"/>
      </top>
      <bottom style="thin">
        <color indexed="64"/>
      </bottom>
      <diagonal/>
    </border>
    <border>
      <left/>
      <right/>
      <top style="hair">
        <color indexed="64"/>
      </top>
      <bottom style="hair">
        <color indexed="64"/>
      </bottom>
      <diagonal/>
    </border>
    <border>
      <left style="thin">
        <color theme="0"/>
      </left>
      <right/>
      <top style="thin">
        <color indexed="64"/>
      </top>
      <bottom style="thin">
        <color theme="0"/>
      </bottom>
      <diagonal/>
    </border>
    <border>
      <left style="thin">
        <color theme="0"/>
      </left>
      <right/>
      <top style="thin">
        <color theme="0"/>
      </top>
      <bottom style="hair">
        <color indexed="64"/>
      </bottom>
      <diagonal/>
    </border>
    <border>
      <left style="thin">
        <color indexed="64"/>
      </left>
      <right style="thin">
        <color indexed="64"/>
      </right>
      <top/>
      <bottom/>
      <diagonal/>
    </border>
    <border>
      <left/>
      <right/>
      <top style="thin">
        <color indexed="64"/>
      </top>
      <bottom style="thin">
        <color theme="0"/>
      </bottom>
      <diagonal/>
    </border>
    <border>
      <left style="thin">
        <color indexed="64"/>
      </left>
      <right style="thin">
        <color indexed="64"/>
      </right>
      <top style="thin">
        <color indexed="64"/>
      </top>
      <bottom style="thin">
        <color theme="0"/>
      </bottom>
      <diagonal/>
    </border>
    <border>
      <left/>
      <right style="thin">
        <color indexed="64"/>
      </right>
      <top style="thin">
        <color indexed="64"/>
      </top>
      <bottom style="thin">
        <color theme="0"/>
      </bottom>
      <diagonal/>
    </border>
    <border>
      <left/>
      <right/>
      <top style="thin">
        <color theme="0"/>
      </top>
      <bottom style="hair">
        <color indexed="64"/>
      </bottom>
      <diagonal/>
    </border>
    <border>
      <left style="thin">
        <color indexed="64"/>
      </left>
      <right style="thin">
        <color indexed="64"/>
      </right>
      <top style="thin">
        <color theme="0"/>
      </top>
      <bottom style="hair">
        <color indexed="64"/>
      </bottom>
      <diagonal/>
    </border>
    <border>
      <left/>
      <right style="thin">
        <color indexed="64"/>
      </right>
      <top style="thin">
        <color theme="0"/>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theme="0"/>
      </right>
      <top style="thin">
        <color indexed="64"/>
      </top>
      <bottom style="thin">
        <color indexed="64"/>
      </bottom>
      <diagonal/>
    </border>
    <border>
      <left style="thin">
        <color auto="1"/>
      </left>
      <right style="thin">
        <color auto="1"/>
      </right>
      <top style="thin">
        <color auto="1"/>
      </top>
      <bottom style="hair">
        <color auto="1"/>
      </bottom>
      <diagonal/>
    </border>
    <border>
      <left style="thin">
        <color indexed="64"/>
      </left>
      <right style="thin">
        <color theme="0"/>
      </right>
      <top style="thin">
        <color indexed="64"/>
      </top>
      <bottom style="thin">
        <color theme="0"/>
      </bottom>
      <diagonal/>
    </border>
    <border>
      <left/>
      <right style="thin">
        <color theme="0"/>
      </right>
      <top style="thin">
        <color indexed="64"/>
      </top>
      <bottom style="thin">
        <color theme="0"/>
      </bottom>
      <diagonal/>
    </border>
    <border>
      <left style="thin">
        <color indexed="64"/>
      </left>
      <right style="thin">
        <color theme="0"/>
      </right>
      <top style="thin">
        <color theme="0"/>
      </top>
      <bottom style="thin">
        <color theme="0"/>
      </bottom>
      <diagonal/>
    </border>
    <border>
      <left style="thin">
        <color indexed="64"/>
      </left>
      <right style="thin">
        <color theme="0"/>
      </right>
      <top style="thin">
        <color theme="0"/>
      </top>
      <bottom style="thin">
        <color indexed="64"/>
      </bottom>
      <diagonal/>
    </border>
    <border>
      <left style="thin">
        <color indexed="64"/>
      </left>
      <right style="thin">
        <color indexed="64"/>
      </right>
      <top/>
      <bottom style="thin">
        <color theme="0"/>
      </bottom>
      <diagonal/>
    </border>
    <border>
      <left style="thin">
        <color theme="0"/>
      </left>
      <right style="thin">
        <color theme="0"/>
      </right>
      <top style="thin">
        <color indexed="64"/>
      </top>
      <bottom style="thin">
        <color indexed="64"/>
      </bottom>
      <diagonal/>
    </border>
    <border>
      <left style="thin">
        <color theme="0"/>
      </left>
      <right style="thin">
        <color theme="0"/>
      </right>
      <top style="thin">
        <color theme="0"/>
      </top>
      <bottom style="hair">
        <color indexed="64"/>
      </bottom>
      <diagonal/>
    </border>
    <border>
      <left style="thin">
        <color theme="0"/>
      </left>
      <right style="thin">
        <color theme="0"/>
      </right>
      <top style="hair">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medium">
        <color theme="6"/>
      </top>
      <bottom style="medium">
        <color theme="6"/>
      </bottom>
      <diagonal/>
    </border>
    <border>
      <left style="thin">
        <color indexed="64"/>
      </left>
      <right style="thin">
        <color indexed="64"/>
      </right>
      <top style="medium">
        <color theme="6"/>
      </top>
      <bottom style="medium">
        <color theme="6"/>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style="thin">
        <color theme="1"/>
      </right>
      <top/>
      <bottom style="thin">
        <color theme="1"/>
      </bottom>
      <diagonal/>
    </border>
    <border>
      <left style="thin">
        <color theme="1"/>
      </left>
      <right style="thin">
        <color theme="1"/>
      </right>
      <top/>
      <bottom style="thin">
        <color theme="1"/>
      </bottom>
      <diagonal/>
    </border>
    <border>
      <left style="thin">
        <color theme="1"/>
      </left>
      <right/>
      <top style="medium">
        <color theme="6"/>
      </top>
      <bottom/>
      <diagonal/>
    </border>
    <border>
      <left style="thin">
        <color theme="1"/>
      </left>
      <right/>
      <top/>
      <bottom/>
      <diagonal/>
    </border>
    <border>
      <left style="thin">
        <color theme="1"/>
      </left>
      <right style="thin">
        <color indexed="64"/>
      </right>
      <top style="medium">
        <color theme="6"/>
      </top>
      <bottom style="medium">
        <color theme="6"/>
      </bottom>
      <diagonal/>
    </border>
    <border>
      <left style="thin">
        <color indexed="64"/>
      </left>
      <right style="thin">
        <color theme="1"/>
      </right>
      <top style="medium">
        <color theme="6"/>
      </top>
      <bottom style="medium">
        <color theme="6"/>
      </bottom>
      <diagonal/>
    </border>
    <border>
      <left/>
      <right style="thin">
        <color theme="1"/>
      </right>
      <top style="medium">
        <color theme="6"/>
      </top>
      <bottom/>
      <diagonal/>
    </border>
    <border>
      <left/>
      <right style="thin">
        <color theme="1"/>
      </right>
      <top/>
      <bottom/>
      <diagonal/>
    </border>
    <border>
      <left style="thin">
        <color theme="1"/>
      </left>
      <right style="thin">
        <color theme="1"/>
      </right>
      <top style="medium">
        <color theme="6"/>
      </top>
      <bottom/>
      <diagonal/>
    </border>
    <border>
      <left style="thin">
        <color theme="1"/>
      </left>
      <right style="thin">
        <color theme="1"/>
      </right>
      <top/>
      <bottom/>
      <diagonal/>
    </border>
    <border>
      <left style="medium">
        <color theme="1" tint="0.499984740745262"/>
      </left>
      <right style="medium">
        <color theme="1" tint="0.499984740745262"/>
      </right>
      <top style="medium">
        <color theme="1" tint="0.499984740745262"/>
      </top>
      <bottom style="medium">
        <color theme="1" tint="0.499984740745262"/>
      </bottom>
      <diagonal/>
    </border>
    <border>
      <left/>
      <right/>
      <top style="hair">
        <color indexed="64"/>
      </top>
      <bottom/>
      <diagonal/>
    </border>
  </borders>
  <cellStyleXfs count="226">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3" fillId="0" borderId="0"/>
    <xf numFmtId="43"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0" fontId="4" fillId="0" borderId="0"/>
    <xf numFmtId="0" fontId="5" fillId="0" borderId="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9" fontId="12" fillId="0" borderId="0" applyFont="0" applyFill="0" applyBorder="0" applyAlignment="0" applyProtection="0"/>
    <xf numFmtId="170" fontId="12" fillId="0" borderId="0" applyFont="0" applyFill="0" applyBorder="0" applyAlignment="0" applyProtection="0"/>
    <xf numFmtId="0" fontId="1" fillId="10" borderId="0" applyNumberFormat="0" applyBorder="0" applyAlignment="0" applyProtection="0"/>
    <xf numFmtId="0" fontId="2"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3" fillId="0" borderId="0"/>
    <xf numFmtId="43" fontId="13" fillId="0" borderId="0" applyFont="0" applyFill="0" applyBorder="0" applyAlignment="0" applyProtection="0"/>
    <xf numFmtId="171"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0" fontId="3" fillId="0" borderId="0"/>
    <xf numFmtId="0" fontId="15" fillId="0" borderId="0"/>
    <xf numFmtId="173" fontId="15" fillId="0" borderId="0" applyBorder="0" applyProtection="0"/>
    <xf numFmtId="0" fontId="15" fillId="0" borderId="0" applyBorder="0" applyProtection="0"/>
    <xf numFmtId="9" fontId="15" fillId="0" borderId="0" applyBorder="0" applyProtection="0"/>
    <xf numFmtId="0" fontId="12" fillId="0" borderId="0"/>
    <xf numFmtId="0" fontId="17" fillId="0" borderId="0"/>
    <xf numFmtId="176" fontId="16" fillId="0" borderId="0" applyBorder="0" applyProtection="0"/>
    <xf numFmtId="174" fontId="16" fillId="0" borderId="0" applyBorder="0" applyProtection="0"/>
    <xf numFmtId="174" fontId="16" fillId="0" borderId="0" applyBorder="0" applyProtection="0"/>
    <xf numFmtId="175" fontId="16" fillId="0" borderId="0" applyBorder="0" applyProtection="0"/>
    <xf numFmtId="0" fontId="18" fillId="0" borderId="0" applyNumberFormat="0" applyBorder="0" applyProtection="0">
      <alignment horizontal="center"/>
    </xf>
    <xf numFmtId="0" fontId="18" fillId="0" borderId="0" applyNumberFormat="0" applyBorder="0" applyProtection="0">
      <alignment horizontal="center" textRotation="90"/>
    </xf>
    <xf numFmtId="174" fontId="16" fillId="0" borderId="0" applyBorder="0" applyProtection="0"/>
    <xf numFmtId="0" fontId="19" fillId="0" borderId="0" applyNumberFormat="0" applyBorder="0" applyProtection="0"/>
    <xf numFmtId="177" fontId="19" fillId="0" borderId="0" applyBorder="0" applyProtection="0"/>
    <xf numFmtId="0" fontId="12" fillId="0" borderId="0"/>
    <xf numFmtId="22" fontId="12"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172" fontId="1" fillId="0" borderId="0" applyFont="0" applyFill="0" applyBorder="0" applyAlignment="0" applyProtection="0"/>
    <xf numFmtId="0" fontId="3" fillId="0" borderId="0"/>
    <xf numFmtId="170" fontId="3" fillId="0" borderId="0" applyFont="0" applyFill="0" applyBorder="0" applyAlignment="0" applyProtection="0"/>
    <xf numFmtId="170" fontId="3" fillId="0" borderId="0" applyFont="0" applyFill="0" applyBorder="0" applyAlignment="0" applyProtection="0"/>
    <xf numFmtId="9" fontId="3" fillId="0" borderId="0"/>
    <xf numFmtId="164" fontId="3" fillId="0" borderId="0" applyFont="0" applyFill="0" applyBorder="0" applyAlignment="0" applyProtection="0"/>
    <xf numFmtId="9" fontId="3" fillId="0" borderId="0" applyFont="0" applyFill="0" applyBorder="0" applyAlignment="0" applyProtection="0"/>
    <xf numFmtId="165" fontId="1" fillId="0" borderId="0" applyFont="0" applyFill="0" applyBorder="0" applyAlignment="0" applyProtection="0"/>
    <xf numFmtId="170" fontId="3" fillId="0" borderId="0" applyFont="0" applyFill="0" applyBorder="0" applyAlignment="0" applyProtection="0"/>
    <xf numFmtId="9" fontId="3" fillId="0" borderId="0"/>
    <xf numFmtId="0" fontId="3" fillId="0" borderId="0"/>
    <xf numFmtId="9" fontId="1" fillId="0" borderId="0" applyFont="0" applyFill="0" applyBorder="0" applyAlignment="0" applyProtection="0"/>
    <xf numFmtId="164" fontId="1" fillId="0" borderId="0" applyFont="0" applyFill="0" applyBorder="0" applyAlignment="0" applyProtection="0"/>
    <xf numFmtId="0" fontId="1" fillId="0" borderId="0"/>
    <xf numFmtId="165" fontId="1"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0" fontId="1" fillId="0" borderId="0"/>
    <xf numFmtId="0" fontId="3" fillId="0" borderId="0"/>
    <xf numFmtId="0" fontId="3" fillId="0" borderId="0"/>
    <xf numFmtId="0" fontId="3" fillId="0" borderId="0"/>
    <xf numFmtId="0" fontId="3" fillId="0" borderId="0"/>
    <xf numFmtId="9" fontId="1"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21" fillId="0" borderId="0" applyNumberFormat="0" applyFill="0" applyBorder="0" applyAlignment="0" applyProtection="0"/>
    <xf numFmtId="0" fontId="22" fillId="0" borderId="26" applyNumberFormat="0" applyFill="0" applyAlignment="0" applyProtection="0"/>
    <xf numFmtId="0" fontId="21" fillId="0" borderId="0" applyNumberForma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9" fontId="12" fillId="0" borderId="0" applyFont="0" applyFill="0" applyBorder="0" applyAlignment="0" applyProtection="0"/>
    <xf numFmtId="170" fontId="12" fillId="0" borderId="0" applyFont="0" applyFill="0" applyBorder="0" applyAlignment="0" applyProtection="0"/>
    <xf numFmtId="164" fontId="12" fillId="0" borderId="0" applyFont="0" applyFill="0" applyBorder="0" applyAlignment="0" applyProtection="0"/>
    <xf numFmtId="172" fontId="1" fillId="0" borderId="0" applyFont="0" applyFill="0" applyBorder="0" applyAlignment="0" applyProtection="0"/>
    <xf numFmtId="165" fontId="3" fillId="0" borderId="0" applyFont="0" applyFill="0" applyBorder="0" applyAlignment="0" applyProtection="0"/>
    <xf numFmtId="170" fontId="3" fillId="0" borderId="0" applyFont="0" applyFill="0" applyBorder="0" applyAlignment="0" applyProtection="0"/>
    <xf numFmtId="0" fontId="3" fillId="0" borderId="0"/>
    <xf numFmtId="164" fontId="3" fillId="0" borderId="0" applyFill="0" applyBorder="0" applyAlignment="0" applyProtection="0"/>
    <xf numFmtId="9" fontId="3"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0" fontId="3" fillId="0" borderId="0"/>
    <xf numFmtId="164" fontId="3"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2" fillId="0" borderId="0" applyFont="0" applyFill="0" applyBorder="0" applyAlignment="0" applyProtection="0"/>
    <xf numFmtId="165"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20" fillId="0" borderId="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17" borderId="0" applyNumberFormat="0" applyBorder="0" applyAlignment="0" applyProtection="0"/>
    <xf numFmtId="0" fontId="12" fillId="20" borderId="0" applyNumberFormat="0" applyBorder="0" applyAlignment="0" applyProtection="0"/>
    <xf numFmtId="0" fontId="12" fillId="23" borderId="0" applyNumberFormat="0" applyBorder="0" applyAlignment="0" applyProtection="0"/>
    <xf numFmtId="0" fontId="23" fillId="24" borderId="0" applyNumberFormat="0" applyBorder="0" applyAlignment="0" applyProtection="0"/>
    <xf numFmtId="0" fontId="23" fillId="21" borderId="0" applyNumberFormat="0" applyBorder="0" applyAlignment="0" applyProtection="0"/>
    <xf numFmtId="0" fontId="23" fillId="2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27" borderId="0" applyNumberFormat="0" applyBorder="0" applyAlignment="0" applyProtection="0"/>
    <xf numFmtId="0" fontId="24" fillId="16" borderId="0" applyNumberFormat="0" applyBorder="0" applyAlignment="0" applyProtection="0"/>
    <xf numFmtId="0" fontId="25" fillId="28" borderId="27" applyNumberFormat="0" applyAlignment="0" applyProtection="0"/>
    <xf numFmtId="0" fontId="26" fillId="29" borderId="28" applyNumberFormat="0" applyAlignment="0" applyProtection="0"/>
    <xf numFmtId="0" fontId="27" fillId="0" borderId="29" applyNumberFormat="0" applyFill="0" applyAlignment="0" applyProtection="0"/>
    <xf numFmtId="0" fontId="23" fillId="30" borderId="0" applyNumberFormat="0" applyBorder="0" applyAlignment="0" applyProtection="0"/>
    <xf numFmtId="0" fontId="23" fillId="31" borderId="0" applyNumberFormat="0" applyBorder="0" applyAlignment="0" applyProtection="0"/>
    <xf numFmtId="0" fontId="23" fillId="3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33" borderId="0" applyNumberFormat="0" applyBorder="0" applyAlignment="0" applyProtection="0"/>
    <xf numFmtId="0" fontId="28" fillId="19" borderId="27" applyNumberFormat="0" applyAlignment="0" applyProtection="0"/>
    <xf numFmtId="0" fontId="29" fillId="15" borderId="0" applyNumberFormat="0" applyBorder="0" applyAlignment="0" applyProtection="0"/>
    <xf numFmtId="0" fontId="30" fillId="34" borderId="0" applyNumberFormat="0" applyBorder="0" applyAlignment="0" applyProtection="0"/>
    <xf numFmtId="0" fontId="3" fillId="35" borderId="30" applyNumberFormat="0" applyAlignment="0" applyProtection="0"/>
    <xf numFmtId="0" fontId="31" fillId="28" borderId="31" applyNumberFormat="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4" fillId="0" borderId="32" applyNumberFormat="0" applyFill="0" applyAlignment="0" applyProtection="0"/>
    <xf numFmtId="0" fontId="35" fillId="0" borderId="33" applyNumberFormat="0" applyFill="0" applyAlignment="0" applyProtection="0"/>
    <xf numFmtId="0" fontId="35" fillId="0" borderId="0" applyNumberFormat="0" applyFill="0" applyBorder="0" applyAlignment="0" applyProtection="0"/>
    <xf numFmtId="0" fontId="36" fillId="0" borderId="34" applyNumberFormat="0" applyFill="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4" borderId="0" applyNumberFormat="0" applyBorder="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36" borderId="0" applyNumberFormat="0" applyBorder="0" applyAlignment="0" applyProtection="0"/>
    <xf numFmtId="0" fontId="2" fillId="37" borderId="0" applyNumberFormat="0" applyBorder="0" applyAlignment="0" applyProtection="0"/>
    <xf numFmtId="170" fontId="3" fillId="0" borderId="0" applyFill="0" applyBorder="0" applyAlignment="0" applyProtection="0"/>
    <xf numFmtId="0" fontId="1" fillId="0" borderId="0"/>
    <xf numFmtId="43" fontId="3" fillId="0" borderId="0" applyFont="0" applyFill="0" applyBorder="0" applyAlignment="0" applyProtection="0"/>
    <xf numFmtId="0" fontId="1" fillId="0" borderId="0"/>
    <xf numFmtId="43" fontId="3" fillId="0" borderId="0" applyFont="0" applyFill="0" applyBorder="0" applyAlignment="0" applyProtection="0"/>
    <xf numFmtId="0" fontId="1" fillId="38" borderId="0" applyNumberFormat="0" applyBorder="0" applyAlignment="0" applyProtection="0"/>
    <xf numFmtId="0" fontId="2" fillId="39" borderId="0" applyNumberFormat="0" applyBorder="0" applyAlignment="0" applyProtection="0"/>
    <xf numFmtId="0" fontId="43" fillId="0" borderId="0" applyNumberForma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1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2" fillId="0" borderId="0" applyFont="0" applyFill="0" applyBorder="0" applyAlignment="0" applyProtection="0"/>
    <xf numFmtId="44" fontId="3" fillId="0" borderId="0" applyFont="0" applyFill="0" applyBorder="0" applyAlignment="0" applyProtection="0"/>
    <xf numFmtId="43" fontId="3" fillId="0" borderId="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2"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cellStyleXfs>
  <cellXfs count="897">
    <xf numFmtId="0" fontId="0" fillId="0" borderId="0" xfId="0"/>
    <xf numFmtId="0" fontId="0" fillId="0" borderId="0" xfId="0" applyAlignment="1">
      <alignment vertical="center"/>
    </xf>
    <xf numFmtId="0" fontId="0" fillId="0" borderId="0" xfId="0" applyAlignment="1">
      <alignment horizontal="center"/>
    </xf>
    <xf numFmtId="0" fontId="6" fillId="0" borderId="0" xfId="0" applyFont="1"/>
    <xf numFmtId="0" fontId="0" fillId="0" borderId="0" xfId="0" applyAlignment="1">
      <alignment horizontal="left" wrapText="1"/>
    </xf>
    <xf numFmtId="0" fontId="6" fillId="0" borderId="0" xfId="0" applyFont="1" applyAlignment="1">
      <alignment vertical="center"/>
    </xf>
    <xf numFmtId="0" fontId="6" fillId="0" borderId="0" xfId="0" applyFont="1" applyAlignment="1">
      <alignment horizontal="center" vertical="center"/>
    </xf>
    <xf numFmtId="0" fontId="11" fillId="0" borderId="0" xfId="0" applyFont="1" applyAlignment="1">
      <alignment horizontal="center" vertical="center"/>
    </xf>
    <xf numFmtId="44" fontId="11" fillId="0" borderId="0" xfId="13" applyNumberFormat="1" applyFont="1" applyFill="1" applyBorder="1" applyAlignment="1">
      <alignment horizontal="center" vertical="center"/>
    </xf>
    <xf numFmtId="0" fontId="7" fillId="0" borderId="0" xfId="0" applyFont="1" applyAlignment="1">
      <alignment vertical="center"/>
    </xf>
    <xf numFmtId="10" fontId="7" fillId="0" borderId="0" xfId="0" applyNumberFormat="1" applyFont="1" applyAlignment="1">
      <alignment horizontal="right" vertical="center"/>
    </xf>
    <xf numFmtId="0" fontId="37" fillId="5" borderId="0" xfId="93" applyFont="1" applyFill="1" applyAlignment="1">
      <alignment horizontal="left" vertical="center"/>
    </xf>
    <xf numFmtId="0" fontId="0" fillId="0" borderId="0" xfId="0" applyAlignment="1">
      <alignment horizontal="center" vertical="center"/>
    </xf>
    <xf numFmtId="0" fontId="0" fillId="0" borderId="12" xfId="0" applyBorder="1" applyAlignment="1">
      <alignment vertical="center"/>
    </xf>
    <xf numFmtId="0" fontId="39" fillId="5" borderId="0" xfId="93" applyFont="1" applyFill="1" applyAlignment="1">
      <alignment horizontal="left" vertical="center"/>
    </xf>
    <xf numFmtId="0" fontId="8" fillId="0" borderId="0" xfId="0" applyFont="1" applyAlignment="1">
      <alignment vertical="center"/>
    </xf>
    <xf numFmtId="10" fontId="8" fillId="0" borderId="0" xfId="0" applyNumberFormat="1" applyFont="1" applyAlignment="1">
      <alignment horizontal="right" vertical="center"/>
    </xf>
    <xf numFmtId="0" fontId="39" fillId="0" borderId="0" xfId="0" applyFont="1" applyAlignment="1">
      <alignment horizontal="center" vertical="center"/>
    </xf>
    <xf numFmtId="0" fontId="39" fillId="0" borderId="12" xfId="0" applyFont="1" applyBorder="1" applyAlignment="1">
      <alignment horizontal="center" vertical="center"/>
    </xf>
    <xf numFmtId="44" fontId="39" fillId="0" borderId="16" xfId="15" applyNumberFormat="1" applyFont="1" applyFill="1" applyBorder="1" applyAlignment="1">
      <alignment vertical="center"/>
    </xf>
    <xf numFmtId="0" fontId="39" fillId="0" borderId="21" xfId="0" applyFont="1" applyBorder="1" applyAlignment="1">
      <alignment horizontal="center" vertical="center"/>
    </xf>
    <xf numFmtId="44" fontId="39" fillId="0" borderId="0" xfId="5" applyNumberFormat="1" applyFont="1" applyFill="1" applyBorder="1" applyAlignment="1">
      <alignment vertical="center"/>
    </xf>
    <xf numFmtId="0" fontId="0" fillId="0" borderId="25" xfId="0" applyBorder="1" applyAlignment="1">
      <alignment vertical="center"/>
    </xf>
    <xf numFmtId="0" fontId="38" fillId="0" borderId="0" xfId="6" applyFont="1" applyAlignment="1">
      <alignment horizontal="center" vertical="center" wrapText="1"/>
    </xf>
    <xf numFmtId="0" fontId="0" fillId="0" borderId="12" xfId="0" applyBorder="1" applyAlignment="1" applyProtection="1">
      <alignment vertical="center"/>
      <protection locked="0"/>
    </xf>
    <xf numFmtId="0" fontId="0" fillId="5" borderId="0" xfId="0" applyFill="1" applyAlignment="1">
      <alignment horizontal="center" vertical="top"/>
    </xf>
    <xf numFmtId="0" fontId="8" fillId="0" borderId="0" xfId="0" applyFont="1" applyAlignment="1">
      <alignment horizontal="justify" vertical="center" wrapText="1"/>
    </xf>
    <xf numFmtId="0" fontId="6" fillId="0" borderId="9" xfId="0" applyFont="1" applyBorder="1"/>
    <xf numFmtId="0" fontId="6" fillId="0" borderId="10" xfId="0" applyFont="1" applyBorder="1"/>
    <xf numFmtId="44" fontId="0" fillId="0" borderId="0" xfId="2" applyFont="1" applyBorder="1" applyProtection="1"/>
    <xf numFmtId="44" fontId="6" fillId="0" borderId="10" xfId="2" applyFont="1" applyBorder="1" applyProtection="1"/>
    <xf numFmtId="0" fontId="6" fillId="0" borderId="10" xfId="0" applyFont="1" applyBorder="1" applyAlignment="1">
      <alignment horizontal="center"/>
    </xf>
    <xf numFmtId="0" fontId="6" fillId="0" borderId="11" xfId="0" applyFont="1" applyBorder="1" applyAlignment="1">
      <alignment horizontal="center"/>
    </xf>
    <xf numFmtId="166" fontId="0" fillId="0" borderId="0" xfId="3" applyNumberFormat="1" applyFont="1" applyBorder="1" applyProtection="1"/>
    <xf numFmtId="0" fontId="7" fillId="0" borderId="0" xfId="0" applyFont="1"/>
    <xf numFmtId="0" fontId="7" fillId="0" borderId="0" xfId="6" applyFont="1"/>
    <xf numFmtId="44" fontId="7" fillId="0" borderId="0" xfId="2" applyFont="1" applyFill="1" applyBorder="1" applyAlignment="1"/>
    <xf numFmtId="0" fontId="8" fillId="0" borderId="0" xfId="6" applyFont="1"/>
    <xf numFmtId="4" fontId="7" fillId="0" borderId="0" xfId="6" applyNumberFormat="1" applyFont="1"/>
    <xf numFmtId="0" fontId="0" fillId="0" borderId="25" xfId="0" applyBorder="1"/>
    <xf numFmtId="44" fontId="6" fillId="0" borderId="0" xfId="2" applyFont="1" applyBorder="1" applyProtection="1"/>
    <xf numFmtId="44" fontId="0" fillId="0" borderId="0" xfId="2" applyFont="1"/>
    <xf numFmtId="0" fontId="0" fillId="0" borderId="0" xfId="0" applyProtection="1">
      <protection locked="0"/>
    </xf>
    <xf numFmtId="184" fontId="0" fillId="0" borderId="0" xfId="0" applyNumberFormat="1" applyAlignment="1">
      <alignment horizontal="center"/>
    </xf>
    <xf numFmtId="0" fontId="0" fillId="0" borderId="23" xfId="0" applyBorder="1" applyAlignment="1">
      <alignment vertical="center"/>
    </xf>
    <xf numFmtId="0" fontId="7" fillId="0" borderId="23" xfId="6" applyFont="1" applyBorder="1"/>
    <xf numFmtId="44" fontId="7" fillId="0" borderId="23" xfId="2" applyFont="1" applyFill="1" applyBorder="1" applyAlignment="1"/>
    <xf numFmtId="0" fontId="0" fillId="0" borderId="18" xfId="0" applyBorder="1" applyAlignment="1">
      <alignment horizontal="left" vertical="center"/>
    </xf>
    <xf numFmtId="0" fontId="0" fillId="0" borderId="15" xfId="0" applyBorder="1" applyAlignment="1">
      <alignment vertical="center"/>
    </xf>
    <xf numFmtId="0" fontId="0" fillId="0" borderId="19" xfId="0" applyBorder="1" applyAlignment="1">
      <alignment vertical="center"/>
    </xf>
    <xf numFmtId="0" fontId="38" fillId="5" borderId="0" xfId="93" applyFont="1" applyFill="1" applyAlignment="1" applyProtection="1">
      <alignment horizontal="left" vertical="center"/>
      <protection locked="0" hidden="1"/>
    </xf>
    <xf numFmtId="0" fontId="0" fillId="0" borderId="7" xfId="0" applyBorder="1" applyAlignment="1">
      <alignment horizontal="left" indent="1"/>
    </xf>
    <xf numFmtId="0" fontId="6" fillId="0" borderId="2" xfId="0" applyFont="1" applyBorder="1"/>
    <xf numFmtId="0" fontId="6" fillId="0" borderId="2" xfId="0" applyFont="1" applyBorder="1" applyAlignment="1">
      <alignment horizontal="center"/>
    </xf>
    <xf numFmtId="44" fontId="6" fillId="0" borderId="2" xfId="2" applyFont="1" applyBorder="1" applyProtection="1"/>
    <xf numFmtId="0" fontId="6" fillId="0" borderId="6" xfId="0" applyFont="1" applyBorder="1" applyAlignment="1">
      <alignment horizontal="left" indent="1"/>
    </xf>
    <xf numFmtId="0" fontId="6" fillId="0" borderId="9" xfId="0" applyFont="1" applyBorder="1" applyAlignment="1">
      <alignment horizontal="left" indent="1"/>
    </xf>
    <xf numFmtId="0" fontId="7" fillId="0" borderId="0" xfId="0" applyFont="1" applyAlignment="1">
      <alignment horizontal="center"/>
    </xf>
    <xf numFmtId="0" fontId="0" fillId="0" borderId="0" xfId="0" applyAlignment="1">
      <alignment horizontal="left"/>
    </xf>
    <xf numFmtId="44" fontId="0" fillId="0" borderId="0" xfId="2" applyFont="1" applyAlignment="1">
      <alignment horizontal="center"/>
    </xf>
    <xf numFmtId="14" fontId="0" fillId="0" borderId="0" xfId="0" applyNumberFormat="1" applyAlignment="1">
      <alignment horizontal="center"/>
    </xf>
    <xf numFmtId="14" fontId="0" fillId="0" borderId="0" xfId="0" applyNumberFormat="1"/>
    <xf numFmtId="0" fontId="7" fillId="0" borderId="0" xfId="0" applyFont="1" applyAlignment="1">
      <alignment horizontal="left" vertical="top" wrapText="1"/>
    </xf>
    <xf numFmtId="0" fontId="7" fillId="0" borderId="0" xfId="0" applyFont="1" applyAlignment="1">
      <alignment wrapText="1"/>
    </xf>
    <xf numFmtId="0" fontId="6" fillId="0" borderId="0" xfId="0" applyFont="1" applyAlignment="1">
      <alignment vertical="center" wrapText="1"/>
    </xf>
    <xf numFmtId="188" fontId="0" fillId="0" borderId="0" xfId="2" applyNumberFormat="1" applyFont="1" applyAlignment="1">
      <alignment horizontal="center"/>
    </xf>
    <xf numFmtId="44" fontId="0" fillId="0" borderId="0" xfId="2" applyFont="1" applyAlignment="1">
      <alignment horizontal="center" vertical="center" wrapText="1"/>
    </xf>
    <xf numFmtId="0" fontId="0" fillId="0" borderId="0" xfId="0" applyAlignment="1">
      <alignment horizontal="center" vertical="center" wrapText="1"/>
    </xf>
    <xf numFmtId="188" fontId="0" fillId="0" borderId="0" xfId="0" applyNumberFormat="1" applyAlignment="1">
      <alignment horizontal="center"/>
    </xf>
    <xf numFmtId="0" fontId="6" fillId="0" borderId="21" xfId="0" applyFont="1" applyBorder="1" applyAlignment="1">
      <alignment vertical="center"/>
    </xf>
    <xf numFmtId="0" fontId="0" fillId="0" borderId="20" xfId="0" applyBorder="1" applyAlignment="1">
      <alignment vertical="center"/>
    </xf>
    <xf numFmtId="0" fontId="11" fillId="5" borderId="0" xfId="19" applyFont="1" applyFill="1" applyBorder="1" applyAlignment="1">
      <alignment horizontal="left" vertical="center"/>
    </xf>
    <xf numFmtId="0" fontId="11" fillId="5" borderId="18" xfId="5" applyFont="1" applyFill="1" applyBorder="1" applyAlignment="1">
      <alignment vertical="center"/>
    </xf>
    <xf numFmtId="0" fontId="11" fillId="5" borderId="23" xfId="5" applyFont="1" applyFill="1" applyBorder="1" applyAlignment="1">
      <alignment vertical="center"/>
    </xf>
    <xf numFmtId="0" fontId="11" fillId="0" borderId="0" xfId="5" applyFont="1" applyFill="1" applyBorder="1" applyAlignment="1">
      <alignment vertical="center"/>
    </xf>
    <xf numFmtId="0" fontId="11" fillId="0" borderId="24" xfId="5" applyFont="1" applyFill="1" applyBorder="1" applyAlignment="1">
      <alignment vertical="center"/>
    </xf>
    <xf numFmtId="0" fontId="11" fillId="0" borderId="25" xfId="5" applyFont="1" applyFill="1" applyBorder="1" applyAlignment="1">
      <alignment vertical="center"/>
    </xf>
    <xf numFmtId="0" fontId="11" fillId="0" borderId="24" xfId="14" applyFont="1" applyFill="1" applyBorder="1" applyAlignment="1">
      <alignment vertical="center"/>
    </xf>
    <xf numFmtId="0" fontId="11" fillId="0" borderId="25" xfId="14" applyFont="1" applyFill="1" applyBorder="1" applyAlignment="1">
      <alignment vertical="center"/>
    </xf>
    <xf numFmtId="0" fontId="11" fillId="0" borderId="0" xfId="14" applyFont="1" applyFill="1" applyBorder="1" applyAlignment="1">
      <alignment vertical="center"/>
    </xf>
    <xf numFmtId="0" fontId="11" fillId="0" borderId="25" xfId="13" applyFont="1" applyFill="1" applyBorder="1" applyAlignment="1">
      <alignment horizontal="left" vertical="center"/>
    </xf>
    <xf numFmtId="0" fontId="11" fillId="0" borderId="25" xfId="0" applyFont="1" applyBorder="1" applyAlignment="1">
      <alignment horizontal="left" vertical="center"/>
    </xf>
    <xf numFmtId="0" fontId="0" fillId="0" borderId="15" xfId="0" applyBorder="1" applyAlignment="1">
      <alignment horizontal="center" vertical="center"/>
    </xf>
    <xf numFmtId="0" fontId="7" fillId="0" borderId="0" xfId="0" applyFont="1" applyAlignment="1">
      <alignment horizontal="center" vertical="center"/>
    </xf>
    <xf numFmtId="0" fontId="39" fillId="5" borderId="0" xfId="93" applyFont="1" applyFill="1" applyAlignment="1">
      <alignment horizontal="center" vertical="center"/>
    </xf>
    <xf numFmtId="0" fontId="8" fillId="0" borderId="0" xfId="0" applyFont="1" applyAlignment="1">
      <alignment horizontal="center" vertical="center"/>
    </xf>
    <xf numFmtId="0" fontId="11" fillId="5" borderId="0" xfId="5" applyFont="1" applyFill="1" applyBorder="1" applyAlignment="1">
      <alignment vertical="center"/>
    </xf>
    <xf numFmtId="0" fontId="6" fillId="0" borderId="6" xfId="18" applyFont="1" applyFill="1" applyBorder="1" applyAlignment="1">
      <alignment horizontal="center" vertical="center"/>
    </xf>
    <xf numFmtId="0" fontId="6" fillId="0" borderId="43" xfId="18" applyFont="1" applyFill="1" applyBorder="1" applyAlignment="1">
      <alignment vertical="center"/>
    </xf>
    <xf numFmtId="0" fontId="11" fillId="37" borderId="9" xfId="165" applyFont="1" applyBorder="1" applyAlignment="1">
      <alignment horizontal="center" vertical="center"/>
    </xf>
    <xf numFmtId="0" fontId="11" fillId="37" borderId="10" xfId="165" applyFont="1" applyBorder="1" applyAlignment="1">
      <alignment horizontal="left" vertical="center"/>
    </xf>
    <xf numFmtId="0" fontId="11" fillId="37" borderId="10" xfId="165" applyFont="1" applyBorder="1" applyAlignment="1">
      <alignment vertical="center"/>
    </xf>
    <xf numFmtId="0" fontId="14" fillId="0" borderId="37" xfId="18" applyFont="1" applyFill="1" applyBorder="1" applyAlignment="1">
      <alignment horizontal="center" vertical="center"/>
    </xf>
    <xf numFmtId="0" fontId="14" fillId="0" borderId="47" xfId="4" applyFont="1" applyFill="1" applyBorder="1" applyAlignment="1">
      <alignment horizontal="center" vertical="center"/>
    </xf>
    <xf numFmtId="0" fontId="6" fillId="0" borderId="8" xfId="4" applyFont="1" applyFill="1" applyBorder="1" applyAlignment="1">
      <alignment horizontal="center" vertical="center"/>
    </xf>
    <xf numFmtId="9" fontId="0" fillId="0" borderId="50" xfId="4" applyNumberFormat="1" applyFont="1" applyFill="1" applyBorder="1" applyAlignment="1" applyProtection="1">
      <alignment horizontal="center" vertical="center"/>
      <protection locked="0"/>
    </xf>
    <xf numFmtId="44" fontId="0" fillId="0" borderId="48" xfId="4" applyNumberFormat="1" applyFont="1" applyFill="1" applyBorder="1" applyAlignment="1">
      <alignment horizontal="center" vertical="center"/>
    </xf>
    <xf numFmtId="0" fontId="0" fillId="0" borderId="2" xfId="0" applyBorder="1" applyAlignment="1">
      <alignment vertical="center"/>
    </xf>
    <xf numFmtId="0" fontId="6" fillId="0" borderId="11" xfId="18" applyFont="1" applyFill="1" applyBorder="1" applyAlignment="1">
      <alignment horizontal="center" vertical="center"/>
    </xf>
    <xf numFmtId="44" fontId="0" fillId="0" borderId="38" xfId="18" applyNumberFormat="1" applyFont="1" applyFill="1" applyBorder="1" applyAlignment="1">
      <alignment horizontal="center" vertical="center"/>
    </xf>
    <xf numFmtId="0" fontId="6" fillId="0" borderId="43" xfId="4" applyFont="1" applyFill="1" applyBorder="1" applyAlignment="1">
      <alignment vertical="center"/>
    </xf>
    <xf numFmtId="44" fontId="1" fillId="0" borderId="48" xfId="4" applyNumberFormat="1" applyFill="1" applyBorder="1" applyAlignment="1">
      <alignment horizontal="center" vertical="center"/>
    </xf>
    <xf numFmtId="0" fontId="14" fillId="0" borderId="45" xfId="18" applyFont="1" applyFill="1" applyBorder="1" applyAlignment="1">
      <alignment horizontal="left" vertical="center" indent="2"/>
    </xf>
    <xf numFmtId="0" fontId="14" fillId="0" borderId="46" xfId="18" applyFont="1" applyFill="1" applyBorder="1" applyAlignment="1">
      <alignment horizontal="left" vertical="center" indent="2"/>
    </xf>
    <xf numFmtId="0" fontId="11" fillId="5" borderId="22" xfId="21" applyFont="1" applyFill="1" applyBorder="1" applyAlignment="1">
      <alignment horizontal="left" vertical="center" wrapText="1"/>
    </xf>
    <xf numFmtId="0" fontId="11" fillId="5" borderId="22" xfId="21" applyFont="1" applyFill="1" applyBorder="1" applyAlignment="1">
      <alignment horizontal="left" vertical="center"/>
    </xf>
    <xf numFmtId="0" fontId="11" fillId="5" borderId="22" xfId="20" applyFont="1" applyFill="1" applyBorder="1" applyAlignment="1">
      <alignment horizontal="left" vertical="center"/>
    </xf>
    <xf numFmtId="0" fontId="8" fillId="0" borderId="38" xfId="21" applyNumberFormat="1" applyFont="1" applyFill="1" applyBorder="1" applyAlignment="1" applyProtection="1">
      <alignment horizontal="center" vertical="center" wrapText="1"/>
      <protection locked="0"/>
    </xf>
    <xf numFmtId="0" fontId="7" fillId="0" borderId="38" xfId="21" applyNumberFormat="1" applyFont="1" applyFill="1" applyBorder="1" applyAlignment="1" applyProtection="1">
      <alignment horizontal="center" vertical="center"/>
      <protection locked="0"/>
    </xf>
    <xf numFmtId="44" fontId="7" fillId="0" borderId="38" xfId="2" applyFont="1" applyFill="1" applyBorder="1" applyAlignment="1" applyProtection="1">
      <alignment horizontal="center" vertical="center"/>
      <protection locked="0"/>
    </xf>
    <xf numFmtId="188" fontId="7" fillId="0" borderId="38" xfId="21" applyNumberFormat="1" applyFont="1" applyFill="1" applyBorder="1" applyAlignment="1" applyProtection="1">
      <alignment horizontal="center" vertical="center"/>
      <protection locked="0"/>
    </xf>
    <xf numFmtId="14" fontId="7" fillId="0" borderId="38" xfId="21" applyNumberFormat="1" applyFont="1" applyFill="1" applyBorder="1" applyAlignment="1" applyProtection="1">
      <alignment horizontal="center" vertical="center"/>
      <protection locked="0"/>
    </xf>
    <xf numFmtId="44" fontId="7" fillId="0" borderId="38" xfId="20" applyNumberFormat="1" applyFont="1" applyFill="1" applyBorder="1" applyAlignment="1" applyProtection="1">
      <alignment horizontal="center" vertical="center"/>
      <protection locked="0"/>
    </xf>
    <xf numFmtId="0" fontId="7" fillId="0" borderId="38" xfId="21" applyNumberFormat="1" applyFont="1" applyFill="1" applyBorder="1" applyAlignment="1" applyProtection="1">
      <alignment horizontal="center" vertical="center"/>
    </xf>
    <xf numFmtId="0" fontId="8" fillId="0" borderId="9" xfId="21" applyFont="1" applyFill="1" applyBorder="1" applyAlignment="1">
      <alignment horizontal="center" vertical="center"/>
    </xf>
    <xf numFmtId="0" fontId="7" fillId="0" borderId="9" xfId="20" applyFont="1" applyFill="1" applyBorder="1" applyAlignment="1">
      <alignment horizontal="center" vertical="center"/>
    </xf>
    <xf numFmtId="0" fontId="7" fillId="0" borderId="9" xfId="21" applyFont="1" applyFill="1" applyBorder="1" applyAlignment="1">
      <alignment horizontal="center" vertical="center"/>
    </xf>
    <xf numFmtId="0" fontId="7" fillId="0" borderId="10" xfId="0" applyFont="1" applyBorder="1" applyAlignment="1">
      <alignment horizontal="left" vertical="center"/>
    </xf>
    <xf numFmtId="0" fontId="11" fillId="37" borderId="11" xfId="165" applyFont="1" applyBorder="1" applyAlignment="1">
      <alignment horizontal="center" vertical="center"/>
    </xf>
    <xf numFmtId="0" fontId="8" fillId="0" borderId="11" xfId="21" applyFont="1" applyFill="1" applyBorder="1" applyAlignment="1">
      <alignment vertical="center" wrapText="1"/>
    </xf>
    <xf numFmtId="0" fontId="7" fillId="0" borderId="11" xfId="21" applyFont="1" applyFill="1" applyBorder="1" applyAlignment="1">
      <alignment vertical="center"/>
    </xf>
    <xf numFmtId="0" fontId="7" fillId="0" borderId="11" xfId="20" applyFont="1" applyFill="1" applyBorder="1" applyAlignment="1">
      <alignment vertical="center"/>
    </xf>
    <xf numFmtId="0" fontId="8" fillId="0" borderId="10" xfId="21" applyFont="1" applyFill="1" applyBorder="1" applyAlignment="1">
      <alignment vertical="center" wrapText="1"/>
    </xf>
    <xf numFmtId="0" fontId="7" fillId="0" borderId="10" xfId="21" applyFont="1" applyFill="1" applyBorder="1" applyAlignment="1">
      <alignment vertical="center"/>
    </xf>
    <xf numFmtId="0" fontId="7" fillId="0" borderId="10" xfId="20" applyFont="1" applyFill="1" applyBorder="1" applyAlignment="1">
      <alignment vertical="center"/>
    </xf>
    <xf numFmtId="0" fontId="7" fillId="0" borderId="13" xfId="0" applyFont="1" applyBorder="1" applyAlignment="1">
      <alignment vertical="center"/>
    </xf>
    <xf numFmtId="0" fontId="11" fillId="37" borderId="10" xfId="165" applyFont="1" applyBorder="1" applyAlignment="1">
      <alignment vertical="center" wrapText="1"/>
    </xf>
    <xf numFmtId="0" fontId="0" fillId="0" borderId="0" xfId="18" applyFont="1" applyFill="1" applyBorder="1" applyAlignment="1">
      <alignment vertical="center"/>
    </xf>
    <xf numFmtId="10" fontId="0" fillId="0" borderId="25" xfId="18" applyNumberFormat="1" applyFont="1" applyFill="1" applyBorder="1" applyAlignment="1">
      <alignment horizontal="right" vertical="center"/>
    </xf>
    <xf numFmtId="44" fontId="0" fillId="0" borderId="22" xfId="18" applyNumberFormat="1" applyFont="1" applyFill="1" applyBorder="1" applyAlignment="1">
      <alignment horizontal="center" vertical="center"/>
    </xf>
    <xf numFmtId="0" fontId="11" fillId="5" borderId="0" xfId="5" applyFont="1" applyFill="1" applyBorder="1" applyAlignment="1">
      <alignment horizontal="center" vertical="center"/>
    </xf>
    <xf numFmtId="0" fontId="6" fillId="0" borderId="9" xfId="18" applyFont="1" applyFill="1" applyBorder="1" applyAlignment="1">
      <alignment horizontal="center" vertical="center"/>
    </xf>
    <xf numFmtId="0" fontId="6" fillId="0" borderId="51" xfId="18" applyFont="1" applyFill="1" applyBorder="1" applyAlignment="1">
      <alignment vertical="center"/>
    </xf>
    <xf numFmtId="0" fontId="11" fillId="5" borderId="22" xfId="5" applyFont="1" applyFill="1" applyBorder="1" applyAlignment="1">
      <alignment vertical="center"/>
    </xf>
    <xf numFmtId="0" fontId="6" fillId="0" borderId="9" xfId="4" applyFont="1" applyFill="1" applyBorder="1" applyAlignment="1">
      <alignment horizontal="center" vertical="center"/>
    </xf>
    <xf numFmtId="0" fontId="6" fillId="0" borderId="44" xfId="4" applyFont="1" applyFill="1" applyBorder="1" applyAlignment="1">
      <alignment vertical="center"/>
    </xf>
    <xf numFmtId="0" fontId="14" fillId="0" borderId="45" xfId="4" applyFont="1" applyFill="1" applyBorder="1" applyAlignment="1">
      <alignment horizontal="left" vertical="center" indent="2"/>
    </xf>
    <xf numFmtId="44" fontId="0" fillId="0" borderId="11" xfId="18" applyNumberFormat="1" applyFont="1" applyFill="1" applyBorder="1" applyAlignment="1">
      <alignment horizontal="center" vertical="center"/>
    </xf>
    <xf numFmtId="44" fontId="0" fillId="0" borderId="5" xfId="18" applyNumberFormat="1" applyFont="1" applyFill="1" applyBorder="1" applyAlignment="1">
      <alignment horizontal="center" vertical="center"/>
    </xf>
    <xf numFmtId="0" fontId="14" fillId="0" borderId="37" xfId="4" applyFont="1" applyFill="1" applyBorder="1" applyAlignment="1">
      <alignment horizontal="center" vertical="center"/>
    </xf>
    <xf numFmtId="0" fontId="14" fillId="0" borderId="47" xfId="18" applyFont="1" applyFill="1" applyBorder="1" applyAlignment="1">
      <alignment horizontal="center" vertical="center"/>
    </xf>
    <xf numFmtId="0" fontId="6" fillId="0" borderId="5" xfId="4" applyFont="1" applyFill="1" applyBorder="1" applyAlignment="1">
      <alignment horizontal="center" vertical="center"/>
    </xf>
    <xf numFmtId="0" fontId="1" fillId="0" borderId="37" xfId="4" applyFill="1" applyBorder="1" applyAlignment="1">
      <alignment horizontal="center" vertical="center"/>
    </xf>
    <xf numFmtId="0" fontId="0" fillId="0" borderId="47" xfId="4" applyFont="1" applyFill="1" applyBorder="1" applyAlignment="1">
      <alignment horizontal="center" vertical="center"/>
    </xf>
    <xf numFmtId="0" fontId="1" fillId="0" borderId="47" xfId="4" applyFill="1" applyBorder="1" applyAlignment="1" applyProtection="1">
      <alignment horizontal="center" vertical="center"/>
      <protection locked="0"/>
    </xf>
    <xf numFmtId="168" fontId="0" fillId="0" borderId="49" xfId="4" applyNumberFormat="1" applyFont="1" applyFill="1" applyBorder="1" applyAlignment="1" applyProtection="1">
      <alignment horizontal="center" vertical="center"/>
      <protection locked="0"/>
    </xf>
    <xf numFmtId="169" fontId="0" fillId="0" borderId="50" xfId="18" applyNumberFormat="1" applyFont="1" applyFill="1" applyBorder="1" applyAlignment="1" applyProtection="1">
      <alignment horizontal="center" vertical="center"/>
      <protection locked="0"/>
    </xf>
    <xf numFmtId="44" fontId="0" fillId="0" borderId="48" xfId="18" applyNumberFormat="1" applyFont="1" applyFill="1" applyBorder="1" applyAlignment="1">
      <alignment horizontal="center" vertical="center"/>
    </xf>
    <xf numFmtId="44" fontId="0" fillId="0" borderId="39" xfId="18" applyNumberFormat="1" applyFont="1" applyFill="1" applyBorder="1" applyAlignment="1">
      <alignment horizontal="center" vertical="center"/>
    </xf>
    <xf numFmtId="185" fontId="1" fillId="0" borderId="49" xfId="4" applyNumberFormat="1" applyFill="1" applyBorder="1" applyAlignment="1" applyProtection="1">
      <alignment horizontal="center" vertical="center"/>
      <protection locked="0"/>
    </xf>
    <xf numFmtId="168" fontId="0" fillId="0" borderId="50" xfId="4" applyNumberFormat="1" applyFont="1" applyFill="1" applyBorder="1" applyAlignment="1" applyProtection="1">
      <alignment horizontal="center" vertical="center"/>
      <protection locked="0"/>
    </xf>
    <xf numFmtId="44" fontId="1" fillId="0" borderId="50" xfId="4" applyNumberFormat="1" applyFill="1" applyBorder="1" applyAlignment="1">
      <alignment horizontal="center" vertical="center"/>
    </xf>
    <xf numFmtId="44" fontId="1" fillId="0" borderId="38" xfId="4" applyNumberFormat="1" applyFill="1" applyBorder="1" applyAlignment="1" applyProtection="1">
      <alignment horizontal="center" vertical="center"/>
      <protection locked="0"/>
    </xf>
    <xf numFmtId="0" fontId="11" fillId="37" borderId="11" xfId="165" applyFont="1" applyBorder="1" applyAlignment="1">
      <alignment vertical="center"/>
    </xf>
    <xf numFmtId="44" fontId="11" fillId="37" borderId="10" xfId="165" applyNumberFormat="1" applyFont="1" applyBorder="1" applyAlignment="1">
      <alignment horizontal="center" vertical="center"/>
    </xf>
    <xf numFmtId="44" fontId="11" fillId="37" borderId="38" xfId="165" applyNumberFormat="1" applyFont="1" applyBorder="1" applyAlignment="1">
      <alignment horizontal="center" vertical="center"/>
    </xf>
    <xf numFmtId="44" fontId="11" fillId="37" borderId="11" xfId="165" applyNumberFormat="1" applyFont="1" applyBorder="1" applyAlignment="1">
      <alignment horizontal="center" vertical="center"/>
    </xf>
    <xf numFmtId="0" fontId="11" fillId="37" borderId="9" xfId="165" applyFont="1" applyBorder="1" applyAlignment="1">
      <alignment horizontal="left" vertical="center"/>
    </xf>
    <xf numFmtId="0" fontId="0" fillId="0" borderId="37" xfId="18" applyFont="1" applyFill="1" applyBorder="1" applyAlignment="1">
      <alignment horizontal="center" vertical="center"/>
    </xf>
    <xf numFmtId="9" fontId="0" fillId="0" borderId="49" xfId="18" applyNumberFormat="1" applyFont="1" applyFill="1" applyBorder="1" applyAlignment="1" applyProtection="1">
      <alignment horizontal="center" vertical="center"/>
      <protection locked="0"/>
    </xf>
    <xf numFmtId="0" fontId="6" fillId="0" borderId="44" xfId="18" applyFont="1" applyFill="1" applyBorder="1" applyAlignment="1">
      <alignment vertical="center"/>
    </xf>
    <xf numFmtId="44" fontId="1" fillId="0" borderId="49" xfId="4" applyNumberFormat="1" applyFill="1" applyBorder="1" applyAlignment="1">
      <alignment horizontal="center" vertical="center"/>
    </xf>
    <xf numFmtId="0" fontId="14" fillId="0" borderId="46" xfId="4" applyFont="1" applyFill="1" applyBorder="1" applyAlignment="1">
      <alignment horizontal="left" vertical="center" indent="2"/>
    </xf>
    <xf numFmtId="0" fontId="6" fillId="0" borderId="53" xfId="18" applyFont="1" applyFill="1" applyBorder="1" applyAlignment="1">
      <alignment vertical="center"/>
    </xf>
    <xf numFmtId="0" fontId="14" fillId="0" borderId="54" xfId="18" applyFont="1" applyFill="1" applyBorder="1" applyAlignment="1">
      <alignment horizontal="left" vertical="center" indent="2"/>
    </xf>
    <xf numFmtId="0" fontId="6" fillId="0" borderId="38" xfId="18" applyFont="1" applyFill="1" applyBorder="1" applyAlignment="1">
      <alignment horizontal="center" vertical="center"/>
    </xf>
    <xf numFmtId="0" fontId="2" fillId="37" borderId="38" xfId="165" applyBorder="1" applyAlignment="1">
      <alignment horizontal="center" vertical="center" wrapText="1"/>
    </xf>
    <xf numFmtId="10" fontId="0" fillId="0" borderId="37" xfId="18" applyNumberFormat="1" applyFont="1" applyFill="1" applyBorder="1" applyAlignment="1" applyProtection="1">
      <alignment horizontal="center" vertical="center"/>
      <protection locked="0"/>
    </xf>
    <xf numFmtId="0" fontId="0" fillId="0" borderId="47" xfId="18" applyNumberFormat="1" applyFont="1" applyFill="1" applyBorder="1" applyAlignment="1" applyProtection="1">
      <alignment horizontal="center" vertical="center"/>
      <protection locked="0"/>
    </xf>
    <xf numFmtId="44" fontId="0" fillId="0" borderId="8" xfId="2" applyFont="1" applyFill="1" applyBorder="1" applyAlignment="1">
      <alignment vertical="center"/>
    </xf>
    <xf numFmtId="0" fontId="6" fillId="0" borderId="5" xfId="18" applyFont="1" applyFill="1" applyBorder="1" applyAlignment="1">
      <alignment horizontal="center" vertical="center"/>
    </xf>
    <xf numFmtId="0" fontId="11" fillId="39" borderId="9" xfId="172" applyFont="1" applyBorder="1" applyAlignment="1">
      <alignment horizontal="center" vertical="center"/>
    </xf>
    <xf numFmtId="0" fontId="11" fillId="39" borderId="10" xfId="172" applyFont="1" applyBorder="1" applyAlignment="1">
      <alignment horizontal="left" vertical="center"/>
    </xf>
    <xf numFmtId="0" fontId="11" fillId="39" borderId="10" xfId="172" applyFont="1" applyBorder="1" applyAlignment="1">
      <alignment vertical="center"/>
    </xf>
    <xf numFmtId="44" fontId="11" fillId="39" borderId="11" xfId="172" applyNumberFormat="1" applyFont="1" applyBorder="1" applyAlignment="1">
      <alignment vertical="center"/>
    </xf>
    <xf numFmtId="0" fontId="11" fillId="39" borderId="11" xfId="172" applyFont="1" applyBorder="1" applyAlignment="1">
      <alignment vertical="center"/>
    </xf>
    <xf numFmtId="44" fontId="11" fillId="39" borderId="38" xfId="172" applyNumberFormat="1" applyFont="1" applyBorder="1" applyAlignment="1">
      <alignment vertical="center"/>
    </xf>
    <xf numFmtId="10" fontId="6" fillId="0" borderId="11" xfId="3" applyNumberFormat="1" applyFont="1" applyFill="1" applyBorder="1" applyAlignment="1">
      <alignment horizontal="center" vertical="center"/>
    </xf>
    <xf numFmtId="0" fontId="6" fillId="0" borderId="22" xfId="18" applyFont="1" applyFill="1" applyBorder="1" applyAlignment="1">
      <alignment vertical="center"/>
    </xf>
    <xf numFmtId="0" fontId="1" fillId="0" borderId="37" xfId="4" applyNumberFormat="1" applyFill="1" applyBorder="1" applyAlignment="1">
      <alignment horizontal="center" vertical="center"/>
    </xf>
    <xf numFmtId="0" fontId="1" fillId="0" borderId="49" xfId="4" applyNumberFormat="1" applyFill="1" applyBorder="1" applyAlignment="1" applyProtection="1">
      <alignment horizontal="center" vertical="center"/>
      <protection locked="0"/>
    </xf>
    <xf numFmtId="0" fontId="1" fillId="0" borderId="37" xfId="4" applyNumberFormat="1" applyFill="1" applyBorder="1" applyAlignment="1" applyProtection="1">
      <alignment horizontal="center" vertical="center"/>
      <protection locked="0"/>
    </xf>
    <xf numFmtId="0" fontId="11" fillId="39" borderId="3" xfId="172" applyFont="1" applyBorder="1" applyAlignment="1">
      <alignment horizontal="center" vertical="center"/>
    </xf>
    <xf numFmtId="0" fontId="11" fillId="39" borderId="4" xfId="172" applyFont="1" applyBorder="1" applyAlignment="1">
      <alignment horizontal="left" vertical="center"/>
    </xf>
    <xf numFmtId="0" fontId="11" fillId="39" borderId="4" xfId="172" applyFont="1" applyBorder="1" applyAlignment="1">
      <alignment vertical="center"/>
    </xf>
    <xf numFmtId="0" fontId="6" fillId="0" borderId="7" xfId="18" applyFont="1" applyFill="1" applyBorder="1" applyAlignment="1">
      <alignment horizontal="center" vertical="center"/>
    </xf>
    <xf numFmtId="10" fontId="6" fillId="0" borderId="5" xfId="3" applyNumberFormat="1" applyFont="1" applyFill="1" applyBorder="1" applyAlignment="1">
      <alignment horizontal="center" vertical="center"/>
    </xf>
    <xf numFmtId="10" fontId="6" fillId="0" borderId="8" xfId="3" applyNumberFormat="1" applyFont="1" applyFill="1" applyBorder="1" applyAlignment="1">
      <alignment horizontal="center" vertical="center"/>
    </xf>
    <xf numFmtId="10" fontId="6" fillId="0" borderId="1" xfId="3" applyNumberFormat="1" applyFont="1" applyFill="1" applyBorder="1" applyAlignment="1">
      <alignment horizontal="center" vertical="center"/>
    </xf>
    <xf numFmtId="0" fontId="11" fillId="39" borderId="6" xfId="172" applyFont="1" applyBorder="1" applyAlignment="1">
      <alignment horizontal="center" vertical="center"/>
    </xf>
    <xf numFmtId="0" fontId="11" fillId="39" borderId="2" xfId="172" applyFont="1" applyBorder="1" applyAlignment="1">
      <alignment horizontal="left" vertical="center"/>
    </xf>
    <xf numFmtId="0" fontId="11" fillId="39" borderId="8" xfId="172" applyFont="1" applyBorder="1" applyAlignment="1">
      <alignment vertical="center"/>
    </xf>
    <xf numFmtId="44" fontId="11" fillId="39" borderId="48" xfId="172" applyNumberFormat="1" applyFont="1" applyBorder="1" applyAlignment="1">
      <alignment vertical="center"/>
    </xf>
    <xf numFmtId="0" fontId="6" fillId="0" borderId="53" xfId="4" applyFont="1" applyFill="1" applyBorder="1" applyAlignment="1">
      <alignment vertical="center"/>
    </xf>
    <xf numFmtId="0" fontId="2" fillId="0" borderId="5" xfId="172" applyFill="1" applyBorder="1" applyAlignment="1">
      <alignment vertical="center"/>
    </xf>
    <xf numFmtId="0" fontId="14" fillId="0" borderId="54" xfId="18" applyFont="1" applyFill="1" applyBorder="1" applyAlignment="1">
      <alignment horizontal="left" vertical="center"/>
    </xf>
    <xf numFmtId="44" fontId="0" fillId="0" borderId="60" xfId="4" applyNumberFormat="1" applyFont="1" applyFill="1" applyBorder="1" applyAlignment="1">
      <alignment horizontal="center" vertical="center"/>
    </xf>
    <xf numFmtId="0" fontId="14" fillId="0" borderId="46" xfId="18" applyFont="1" applyFill="1" applyBorder="1" applyAlignment="1">
      <alignment horizontal="left" vertical="center"/>
    </xf>
    <xf numFmtId="0" fontId="0" fillId="0" borderId="50" xfId="18" applyNumberFormat="1" applyFont="1" applyFill="1" applyBorder="1" applyAlignment="1" applyProtection="1">
      <alignment horizontal="center" vertical="center"/>
      <protection locked="0"/>
    </xf>
    <xf numFmtId="0" fontId="0" fillId="0" borderId="50" xfId="4" applyNumberFormat="1" applyFont="1" applyFill="1" applyBorder="1" applyAlignment="1" applyProtection="1">
      <alignment horizontal="center" vertical="center"/>
      <protection locked="0"/>
    </xf>
    <xf numFmtId="9" fontId="0" fillId="0" borderId="50" xfId="18" applyNumberFormat="1" applyFont="1" applyFill="1" applyBorder="1" applyAlignment="1" applyProtection="1">
      <alignment horizontal="center" vertical="center"/>
      <protection locked="0"/>
    </xf>
    <xf numFmtId="0" fontId="14" fillId="0" borderId="54" xfId="4" applyFont="1" applyFill="1" applyBorder="1" applyAlignment="1">
      <alignment horizontal="left" vertical="center"/>
    </xf>
    <xf numFmtId="44" fontId="1" fillId="0" borderId="60" xfId="4" applyNumberFormat="1" applyFill="1" applyBorder="1" applyAlignment="1" applyProtection="1">
      <alignment horizontal="center" vertical="center"/>
      <protection locked="0"/>
    </xf>
    <xf numFmtId="0" fontId="14" fillId="0" borderId="46" xfId="4" applyFont="1" applyFill="1" applyBorder="1" applyAlignment="1">
      <alignment horizontal="left" vertical="center"/>
    </xf>
    <xf numFmtId="0" fontId="1" fillId="0" borderId="50" xfId="4" applyNumberFormat="1" applyFill="1" applyBorder="1" applyAlignment="1" applyProtection="1">
      <alignment horizontal="center" vertical="center"/>
      <protection locked="0"/>
    </xf>
    <xf numFmtId="9" fontId="1" fillId="0" borderId="50" xfId="4" applyNumberFormat="1" applyFill="1" applyBorder="1" applyAlignment="1" applyProtection="1">
      <alignment horizontal="center" vertical="center"/>
      <protection locked="0"/>
    </xf>
    <xf numFmtId="44" fontId="0" fillId="0" borderId="60" xfId="18" applyNumberFormat="1" applyFont="1" applyFill="1" applyBorder="1" applyAlignment="1" applyProtection="1">
      <alignment horizontal="center" vertical="center"/>
      <protection locked="0"/>
    </xf>
    <xf numFmtId="44" fontId="1" fillId="0" borderId="48" xfId="4" applyNumberFormat="1" applyFill="1" applyBorder="1" applyAlignment="1" applyProtection="1">
      <alignment horizontal="center" vertical="center"/>
    </xf>
    <xf numFmtId="44" fontId="1" fillId="0" borderId="61" xfId="4" applyNumberFormat="1" applyFill="1" applyBorder="1" applyAlignment="1">
      <alignment horizontal="right" vertical="center"/>
    </xf>
    <xf numFmtId="44" fontId="1" fillId="0" borderId="48" xfId="4" applyNumberFormat="1" applyFill="1" applyBorder="1" applyAlignment="1">
      <alignment horizontal="right" vertical="center"/>
    </xf>
    <xf numFmtId="10" fontId="1" fillId="0" borderId="47" xfId="4" applyNumberFormat="1" applyFill="1" applyBorder="1" applyAlignment="1">
      <alignment horizontal="right" vertical="center"/>
    </xf>
    <xf numFmtId="0" fontId="14" fillId="0" borderId="54" xfId="4" applyFont="1" applyFill="1" applyBorder="1" applyAlignment="1">
      <alignment horizontal="left" vertical="center" indent="2"/>
    </xf>
    <xf numFmtId="44" fontId="0" fillId="0" borderId="61" xfId="4" applyNumberFormat="1" applyFont="1" applyFill="1" applyBorder="1" applyAlignment="1" applyProtection="1">
      <alignment horizontal="right" vertical="center"/>
      <protection locked="0"/>
    </xf>
    <xf numFmtId="10" fontId="0" fillId="0" borderId="47" xfId="18" applyNumberFormat="1" applyFont="1" applyFill="1" applyBorder="1" applyAlignment="1">
      <alignment horizontal="right" vertical="center"/>
    </xf>
    <xf numFmtId="10" fontId="0" fillId="0" borderId="47" xfId="4" applyNumberFormat="1" applyFont="1" applyFill="1" applyBorder="1" applyAlignment="1">
      <alignment horizontal="right" vertical="center"/>
    </xf>
    <xf numFmtId="44" fontId="6" fillId="0" borderId="8" xfId="18" applyNumberFormat="1" applyFont="1" applyFill="1" applyBorder="1" applyAlignment="1">
      <alignment horizontal="center" vertical="center"/>
    </xf>
    <xf numFmtId="44" fontId="6" fillId="0" borderId="58" xfId="18" applyNumberFormat="1" applyFont="1" applyFill="1" applyBorder="1" applyAlignment="1">
      <alignment horizontal="center" vertical="center"/>
    </xf>
    <xf numFmtId="44" fontId="0" fillId="0" borderId="61" xfId="18" applyNumberFormat="1" applyFont="1" applyFill="1" applyBorder="1" applyAlignment="1">
      <alignment horizontal="right" vertical="center"/>
    </xf>
    <xf numFmtId="10" fontId="1" fillId="0" borderId="61" xfId="4" applyNumberFormat="1" applyFill="1" applyBorder="1" applyAlignment="1">
      <alignment horizontal="right" vertical="center"/>
    </xf>
    <xf numFmtId="0" fontId="0" fillId="0" borderId="43" xfId="0" applyBorder="1" applyAlignment="1">
      <alignment vertical="center"/>
    </xf>
    <xf numFmtId="0" fontId="14" fillId="0" borderId="52" xfId="18" applyFont="1" applyFill="1" applyBorder="1" applyAlignment="1">
      <alignment horizontal="left" vertical="center" indent="2"/>
    </xf>
    <xf numFmtId="0" fontId="0" fillId="0" borderId="43" xfId="0" applyBorder="1" applyAlignment="1" applyProtection="1">
      <alignment vertical="center"/>
      <protection locked="0"/>
    </xf>
    <xf numFmtId="0" fontId="6" fillId="0" borderId="63" xfId="4" applyNumberFormat="1" applyFont="1" applyFill="1" applyBorder="1" applyAlignment="1">
      <alignment horizontal="center" vertical="center"/>
    </xf>
    <xf numFmtId="44" fontId="6" fillId="0" borderId="63" xfId="18" applyNumberFormat="1" applyFont="1" applyFill="1" applyBorder="1" applyAlignment="1">
      <alignment horizontal="center" vertical="center"/>
    </xf>
    <xf numFmtId="0" fontId="6" fillId="0" borderId="22" xfId="171" applyFont="1" applyFill="1" applyBorder="1" applyAlignment="1">
      <alignment vertical="center"/>
    </xf>
    <xf numFmtId="0" fontId="6" fillId="0" borderId="1" xfId="171" applyFont="1" applyFill="1" applyBorder="1" applyAlignment="1">
      <alignment horizontal="center" vertical="center"/>
    </xf>
    <xf numFmtId="0" fontId="6" fillId="0" borderId="4" xfId="4" applyFont="1" applyFill="1" applyBorder="1" applyAlignment="1">
      <alignment vertical="center"/>
    </xf>
    <xf numFmtId="0" fontId="6" fillId="0" borderId="4" xfId="18" applyFont="1" applyFill="1" applyBorder="1" applyAlignment="1">
      <alignment horizontal="center" vertical="center"/>
    </xf>
    <xf numFmtId="0" fontId="14" fillId="0" borderId="2" xfId="4" applyFont="1" applyFill="1" applyBorder="1" applyAlignment="1">
      <alignment horizontal="left" vertical="center" indent="2"/>
    </xf>
    <xf numFmtId="0" fontId="1" fillId="0" borderId="1" xfId="4" applyFill="1" applyBorder="1" applyAlignment="1">
      <alignment horizontal="center" vertical="center"/>
    </xf>
    <xf numFmtId="0" fontId="6" fillId="0" borderId="22" xfId="4" applyFont="1" applyFill="1" applyBorder="1" applyAlignment="1">
      <alignment vertical="center"/>
    </xf>
    <xf numFmtId="0" fontId="11" fillId="5" borderId="1" xfId="5" applyFont="1" applyFill="1" applyBorder="1" applyAlignment="1">
      <alignment vertical="center"/>
    </xf>
    <xf numFmtId="0" fontId="14" fillId="0" borderId="36" xfId="4" applyFont="1" applyFill="1" applyBorder="1" applyAlignment="1">
      <alignment horizontal="left" vertical="center" indent="2"/>
    </xf>
    <xf numFmtId="9" fontId="1" fillId="0" borderId="49" xfId="4" applyNumberFormat="1" applyFill="1" applyBorder="1" applyAlignment="1" applyProtection="1">
      <alignment horizontal="center" vertical="center"/>
      <protection locked="0"/>
    </xf>
    <xf numFmtId="0" fontId="14" fillId="0" borderId="36" xfId="0" applyFont="1" applyBorder="1" applyAlignment="1">
      <alignment horizontal="left" vertical="center" indent="2"/>
    </xf>
    <xf numFmtId="9" fontId="6" fillId="0" borderId="55" xfId="171" applyNumberFormat="1" applyFont="1" applyFill="1" applyBorder="1" applyAlignment="1" applyProtection="1">
      <alignment horizontal="center" vertical="center"/>
    </xf>
    <xf numFmtId="44" fontId="1" fillId="0" borderId="39" xfId="4" applyNumberFormat="1" applyFill="1" applyBorder="1" applyAlignment="1" applyProtection="1">
      <alignment horizontal="center" vertical="center"/>
    </xf>
    <xf numFmtId="44" fontId="1" fillId="0" borderId="55" xfId="4" applyNumberFormat="1" applyFill="1" applyBorder="1" applyAlignment="1" applyProtection="1">
      <alignment horizontal="center" vertical="center"/>
    </xf>
    <xf numFmtId="44" fontId="0" fillId="0" borderId="39" xfId="18" applyNumberFormat="1" applyFont="1" applyFill="1" applyBorder="1" applyAlignment="1" applyProtection="1">
      <alignment horizontal="center" vertical="center"/>
    </xf>
    <xf numFmtId="44" fontId="0" fillId="0" borderId="39" xfId="4" applyNumberFormat="1" applyFont="1" applyFill="1" applyBorder="1" applyAlignment="1" applyProtection="1">
      <alignment horizontal="center" vertical="center"/>
    </xf>
    <xf numFmtId="44" fontId="2" fillId="0" borderId="39" xfId="172" applyNumberFormat="1" applyFill="1" applyBorder="1" applyAlignment="1" applyProtection="1">
      <alignment vertical="center"/>
    </xf>
    <xf numFmtId="44" fontId="0" fillId="0" borderId="57" xfId="18" applyNumberFormat="1" applyFont="1" applyFill="1" applyBorder="1" applyAlignment="1" applyProtection="1">
      <alignment horizontal="center" vertical="center"/>
    </xf>
    <xf numFmtId="44" fontId="1" fillId="0" borderId="57" xfId="4" applyNumberFormat="1" applyFill="1" applyBorder="1" applyAlignment="1" applyProtection="1">
      <alignment horizontal="center" vertical="center"/>
    </xf>
    <xf numFmtId="0" fontId="6" fillId="0" borderId="0" xfId="0" applyFont="1" applyAlignment="1">
      <alignment horizontal="center" vertical="center" wrapText="1"/>
    </xf>
    <xf numFmtId="0" fontId="0" fillId="0" borderId="55" xfId="0" applyBorder="1" applyAlignment="1">
      <alignment vertical="center"/>
    </xf>
    <xf numFmtId="9" fontId="14" fillId="0" borderId="49" xfId="4" applyNumberFormat="1" applyFont="1" applyFill="1" applyBorder="1" applyAlignment="1" applyProtection="1">
      <alignment horizontal="center" vertical="center"/>
      <protection locked="0"/>
    </xf>
    <xf numFmtId="44" fontId="14" fillId="0" borderId="49" xfId="18" applyNumberFormat="1" applyFont="1" applyFill="1" applyBorder="1" applyAlignment="1" applyProtection="1">
      <alignment horizontal="center" vertical="center"/>
      <protection locked="0"/>
    </xf>
    <xf numFmtId="9" fontId="14" fillId="0" borderId="50" xfId="4" applyNumberFormat="1" applyFont="1" applyFill="1" applyBorder="1" applyAlignment="1" applyProtection="1">
      <alignment horizontal="center" vertical="center"/>
      <protection locked="0"/>
    </xf>
    <xf numFmtId="44" fontId="0" fillId="0" borderId="64" xfId="4" applyNumberFormat="1" applyFont="1" applyFill="1" applyBorder="1" applyAlignment="1">
      <alignment horizontal="center" vertical="center"/>
    </xf>
    <xf numFmtId="0" fontId="7" fillId="0" borderId="38" xfId="6" applyFont="1" applyBorder="1" applyAlignment="1" applyProtection="1">
      <alignment horizontal="center"/>
      <protection locked="0"/>
    </xf>
    <xf numFmtId="0" fontId="7" fillId="0" borderId="38" xfId="6" applyFont="1" applyBorder="1" applyAlignment="1" applyProtection="1">
      <alignment horizontal="center" vertical="center"/>
      <protection locked="0"/>
    </xf>
    <xf numFmtId="0" fontId="7" fillId="0" borderId="38" xfId="6" applyFont="1" applyBorder="1" applyProtection="1">
      <protection locked="0"/>
    </xf>
    <xf numFmtId="44" fontId="7" fillId="0" borderId="38" xfId="2" applyFont="1" applyFill="1" applyBorder="1" applyProtection="1">
      <protection locked="0"/>
    </xf>
    <xf numFmtId="0" fontId="11" fillId="39" borderId="38" xfId="172" applyFont="1" applyBorder="1" applyAlignment="1">
      <alignment horizontal="center" vertical="center" wrapText="1"/>
    </xf>
    <xf numFmtId="44" fontId="11" fillId="39" borderId="38" xfId="172" applyNumberFormat="1" applyFont="1" applyBorder="1" applyAlignment="1">
      <alignment horizontal="center" vertical="center" wrapText="1"/>
    </xf>
    <xf numFmtId="10" fontId="0" fillId="0" borderId="0" xfId="3" applyNumberFormat="1" applyFont="1" applyBorder="1" applyProtection="1"/>
    <xf numFmtId="44" fontId="0" fillId="0" borderId="38" xfId="2" applyFont="1" applyFill="1" applyBorder="1" applyAlignment="1" applyProtection="1">
      <alignment horizontal="center" vertical="center"/>
      <protection locked="0"/>
    </xf>
    <xf numFmtId="0" fontId="11" fillId="37" borderId="11" xfId="165" applyFont="1" applyBorder="1" applyAlignment="1">
      <alignment horizontal="left" vertical="center"/>
    </xf>
    <xf numFmtId="0" fontId="11" fillId="37" borderId="66" xfId="165" applyFont="1" applyBorder="1" applyAlignment="1">
      <alignment horizontal="center" vertical="center" wrapText="1"/>
    </xf>
    <xf numFmtId="0" fontId="11" fillId="37" borderId="66" xfId="165" applyFont="1" applyBorder="1" applyAlignment="1">
      <alignment horizontal="left" vertical="center" wrapText="1"/>
    </xf>
    <xf numFmtId="14" fontId="11" fillId="37" borderId="66" xfId="165" applyNumberFormat="1" applyFont="1" applyBorder="1" applyAlignment="1">
      <alignment horizontal="center" vertical="center" wrapText="1"/>
    </xf>
    <xf numFmtId="44" fontId="11" fillId="37" borderId="66" xfId="2" applyFont="1" applyFill="1" applyBorder="1" applyAlignment="1">
      <alignment horizontal="center" vertical="center" wrapText="1"/>
    </xf>
    <xf numFmtId="188" fontId="11" fillId="37" borderId="66" xfId="165" applyNumberFormat="1" applyFont="1" applyBorder="1" applyAlignment="1">
      <alignment horizontal="center" vertical="center" wrapText="1"/>
    </xf>
    <xf numFmtId="44" fontId="11" fillId="37" borderId="66" xfId="165" applyNumberFormat="1" applyFont="1" applyBorder="1" applyAlignment="1">
      <alignment horizontal="center" vertical="center" wrapText="1"/>
    </xf>
    <xf numFmtId="0" fontId="0" fillId="0" borderId="50" xfId="0" applyBorder="1"/>
    <xf numFmtId="0" fontId="41" fillId="0" borderId="50" xfId="0" applyFont="1" applyBorder="1"/>
    <xf numFmtId="0" fontId="0" fillId="0" borderId="50" xfId="0" applyBorder="1" applyAlignment="1">
      <alignment horizontal="center" vertical="center" wrapText="1"/>
    </xf>
    <xf numFmtId="14" fontId="0" fillId="0" borderId="50" xfId="0" applyNumberFormat="1" applyBorder="1" applyAlignment="1">
      <alignment horizontal="center" vertical="center" wrapText="1"/>
    </xf>
    <xf numFmtId="44" fontId="0" fillId="0" borderId="50" xfId="2" applyFont="1" applyBorder="1" applyAlignment="1">
      <alignment horizontal="center" vertical="center" wrapText="1"/>
    </xf>
    <xf numFmtId="188" fontId="0" fillId="0" borderId="50" xfId="2" applyNumberFormat="1" applyFont="1" applyBorder="1" applyAlignment="1">
      <alignment horizontal="center" vertical="center" wrapText="1"/>
    </xf>
    <xf numFmtId="9" fontId="0" fillId="0" borderId="50" xfId="0" applyNumberFormat="1" applyBorder="1" applyAlignment="1">
      <alignment horizontal="center" vertical="center" wrapText="1"/>
    </xf>
    <xf numFmtId="44" fontId="0" fillId="0" borderId="50" xfId="2" applyFont="1" applyBorder="1"/>
    <xf numFmtId="0" fontId="0" fillId="0" borderId="50" xfId="0" applyBorder="1" applyAlignment="1">
      <alignment horizontal="center"/>
    </xf>
    <xf numFmtId="188" fontId="0" fillId="0" borderId="50" xfId="0" applyNumberFormat="1" applyBorder="1" applyAlignment="1">
      <alignment horizontal="center"/>
    </xf>
    <xf numFmtId="0" fontId="7" fillId="0" borderId="50" xfId="0" applyFont="1" applyBorder="1"/>
    <xf numFmtId="0" fontId="7" fillId="0" borderId="64" xfId="0" applyFont="1" applyBorder="1"/>
    <xf numFmtId="0" fontId="41" fillId="0" borderId="64" xfId="0" applyFont="1" applyBorder="1"/>
    <xf numFmtId="0" fontId="0" fillId="0" borderId="64" xfId="0" applyBorder="1" applyAlignment="1">
      <alignment horizontal="center" vertical="center" wrapText="1"/>
    </xf>
    <xf numFmtId="14" fontId="0" fillId="0" borderId="64" xfId="0" applyNumberFormat="1" applyBorder="1" applyAlignment="1">
      <alignment horizontal="center" vertical="center" wrapText="1"/>
    </xf>
    <xf numFmtId="44" fontId="0" fillId="0" borderId="64" xfId="2" applyFont="1" applyBorder="1"/>
    <xf numFmtId="188" fontId="0" fillId="0" borderId="64" xfId="0" applyNumberFormat="1" applyBorder="1" applyAlignment="1">
      <alignment horizontal="center"/>
    </xf>
    <xf numFmtId="44" fontId="0" fillId="0" borderId="64" xfId="2" applyFont="1" applyBorder="1" applyAlignment="1">
      <alignment horizontal="center" vertical="center" wrapText="1"/>
    </xf>
    <xf numFmtId="0" fontId="0" fillId="0" borderId="64" xfId="0" applyBorder="1"/>
    <xf numFmtId="9" fontId="0" fillId="0" borderId="64" xfId="0" applyNumberFormat="1" applyBorder="1" applyAlignment="1">
      <alignment horizontal="center" vertical="center" wrapText="1"/>
    </xf>
    <xf numFmtId="0" fontId="0" fillId="0" borderId="64" xfId="0" applyBorder="1" applyAlignment="1">
      <alignment horizontal="center"/>
    </xf>
    <xf numFmtId="0" fontId="7" fillId="0" borderId="0" xfId="0" applyFont="1" applyAlignment="1">
      <alignment horizontal="center" vertical="top" wrapText="1"/>
    </xf>
    <xf numFmtId="0" fontId="1" fillId="0" borderId="38" xfId="18" applyFill="1" applyBorder="1" applyAlignment="1">
      <alignment horizontal="center" vertical="center"/>
    </xf>
    <xf numFmtId="0" fontId="7" fillId="0" borderId="12" xfId="6" applyFont="1" applyBorder="1"/>
    <xf numFmtId="0" fontId="7" fillId="0" borderId="12" xfId="6" applyFont="1" applyBorder="1" applyAlignment="1">
      <alignment horizontal="left"/>
    </xf>
    <xf numFmtId="0" fontId="11" fillId="39" borderId="10" xfId="172" applyFont="1" applyBorder="1" applyAlignment="1">
      <alignment horizontal="center" vertical="center"/>
    </xf>
    <xf numFmtId="0" fontId="0" fillId="0" borderId="0" xfId="0" applyAlignment="1" applyProtection="1">
      <alignment horizontal="center" vertical="center"/>
      <protection locked="0"/>
    </xf>
    <xf numFmtId="0" fontId="6" fillId="0" borderId="0" xfId="0" applyFont="1" applyAlignment="1" applyProtection="1">
      <alignment vertical="center" wrapText="1"/>
      <protection locked="0"/>
    </xf>
    <xf numFmtId="0" fontId="0" fillId="0" borderId="0" xfId="0" applyAlignment="1" applyProtection="1">
      <alignment vertical="center"/>
      <protection locked="0"/>
    </xf>
    <xf numFmtId="0" fontId="6" fillId="0" borderId="0" xfId="0" applyFont="1" applyAlignment="1" applyProtection="1">
      <alignment vertical="center"/>
      <protection locked="0"/>
    </xf>
    <xf numFmtId="0" fontId="39" fillId="0" borderId="0" xfId="0" applyFont="1" applyAlignment="1" applyProtection="1">
      <alignment horizontal="center" vertical="center"/>
      <protection locked="0"/>
    </xf>
    <xf numFmtId="0" fontId="6" fillId="0" borderId="0" xfId="0" applyFont="1" applyAlignment="1" applyProtection="1">
      <alignment horizontal="center" vertical="center"/>
      <protection locked="0"/>
    </xf>
    <xf numFmtId="0" fontId="39" fillId="0" borderId="12" xfId="0" applyFont="1" applyBorder="1" applyAlignment="1" applyProtection="1">
      <alignment horizontal="center" vertical="center"/>
      <protection locked="0"/>
    </xf>
    <xf numFmtId="0" fontId="0" fillId="0" borderId="0" xfId="0" applyAlignment="1" applyProtection="1">
      <alignment horizontal="center"/>
      <protection locked="0"/>
    </xf>
    <xf numFmtId="44" fontId="6" fillId="3" borderId="38" xfId="5" applyNumberFormat="1" applyFont="1" applyBorder="1" applyAlignment="1">
      <alignment horizontal="center"/>
    </xf>
    <xf numFmtId="0" fontId="6" fillId="0" borderId="0" xfId="0" applyFont="1" applyAlignment="1">
      <alignment horizontal="center"/>
    </xf>
    <xf numFmtId="2" fontId="0" fillId="0" borderId="47" xfId="18" applyNumberFormat="1" applyFont="1" applyFill="1" applyBorder="1" applyAlignment="1" applyProtection="1">
      <alignment horizontal="center" vertical="center"/>
      <protection locked="0"/>
    </xf>
    <xf numFmtId="0" fontId="7" fillId="0" borderId="24" xfId="0" applyFont="1" applyBorder="1" applyAlignment="1">
      <alignment horizontal="center" vertical="center"/>
    </xf>
    <xf numFmtId="0" fontId="7" fillId="0" borderId="24" xfId="0" applyFont="1" applyBorder="1" applyAlignment="1">
      <alignment vertical="center"/>
    </xf>
    <xf numFmtId="10" fontId="7" fillId="0" borderId="24" xfId="0" applyNumberFormat="1" applyFont="1" applyBorder="1" applyAlignment="1">
      <alignment horizontal="right" vertical="center"/>
    </xf>
    <xf numFmtId="0" fontId="8" fillId="0" borderId="68" xfId="18" applyFont="1" applyFill="1" applyBorder="1" applyAlignment="1">
      <alignment horizontal="left" vertical="center"/>
    </xf>
    <xf numFmtId="0" fontId="7" fillId="0" borderId="4" xfId="6" applyFont="1" applyBorder="1"/>
    <xf numFmtId="0" fontId="8" fillId="0" borderId="2" xfId="6" applyFont="1" applyBorder="1" applyAlignment="1">
      <alignment horizontal="right"/>
    </xf>
    <xf numFmtId="44" fontId="7" fillId="0" borderId="39" xfId="2" applyFont="1" applyFill="1" applyBorder="1" applyAlignment="1"/>
    <xf numFmtId="44" fontId="1" fillId="0" borderId="57" xfId="2" applyFont="1" applyFill="1" applyBorder="1" applyAlignment="1">
      <alignment horizontal="left" vertical="center"/>
    </xf>
    <xf numFmtId="0" fontId="8" fillId="0" borderId="65" xfId="13" applyFont="1" applyFill="1" applyBorder="1" applyAlignment="1">
      <alignment horizontal="center" vertical="center"/>
    </xf>
    <xf numFmtId="0" fontId="8" fillId="0" borderId="72" xfId="18" applyFont="1" applyFill="1" applyBorder="1" applyAlignment="1">
      <alignment horizontal="left" vertical="center"/>
    </xf>
    <xf numFmtId="44" fontId="7" fillId="0" borderId="38" xfId="2" applyFont="1" applyFill="1" applyBorder="1" applyAlignment="1">
      <alignment horizontal="center" vertical="center"/>
    </xf>
    <xf numFmtId="0" fontId="8" fillId="0" borderId="43" xfId="173" applyFont="1" applyFill="1" applyBorder="1" applyAlignment="1">
      <alignment vertical="center"/>
    </xf>
    <xf numFmtId="0" fontId="8" fillId="0" borderId="40" xfId="21" applyFont="1" applyFill="1" applyBorder="1" applyAlignment="1">
      <alignment horizontal="center" vertical="center"/>
    </xf>
    <xf numFmtId="0" fontId="8" fillId="0" borderId="44" xfId="20" applyFont="1" applyFill="1" applyBorder="1" applyAlignment="1">
      <alignment vertical="center"/>
    </xf>
    <xf numFmtId="0" fontId="8" fillId="0" borderId="65" xfId="21" applyFont="1" applyFill="1" applyBorder="1" applyAlignment="1">
      <alignment horizontal="center" vertical="center"/>
    </xf>
    <xf numFmtId="0" fontId="7" fillId="0" borderId="51" xfId="20" applyFont="1" applyFill="1" applyBorder="1" applyAlignment="1">
      <alignment vertical="center"/>
    </xf>
    <xf numFmtId="0" fontId="8" fillId="0" borderId="42" xfId="20" applyFont="1" applyFill="1" applyBorder="1" applyAlignment="1">
      <alignment horizontal="center" vertical="center"/>
    </xf>
    <xf numFmtId="0" fontId="7" fillId="0" borderId="43" xfId="20" applyFont="1" applyFill="1" applyBorder="1" applyAlignment="1">
      <alignment vertical="center"/>
    </xf>
    <xf numFmtId="0" fontId="8" fillId="0" borderId="4" xfId="20" applyFont="1" applyFill="1" applyBorder="1" applyAlignment="1">
      <alignment vertical="center"/>
    </xf>
    <xf numFmtId="0" fontId="7" fillId="0" borderId="2" xfId="20" applyFont="1" applyFill="1" applyBorder="1" applyAlignment="1">
      <alignment vertical="center"/>
    </xf>
    <xf numFmtId="0" fontId="42" fillId="0" borderId="73" xfId="18" applyFont="1" applyFill="1" applyBorder="1" applyAlignment="1">
      <alignment horizontal="left" vertical="center" indent="2"/>
    </xf>
    <xf numFmtId="44" fontId="7" fillId="0" borderId="54" xfId="2" applyFont="1" applyFill="1" applyBorder="1" applyAlignment="1">
      <alignment horizontal="left" vertical="center"/>
    </xf>
    <xf numFmtId="0" fontId="42" fillId="0" borderId="74" xfId="18" applyFont="1" applyFill="1" applyBorder="1" applyAlignment="1">
      <alignment horizontal="left" vertical="center" indent="2"/>
    </xf>
    <xf numFmtId="1" fontId="7" fillId="0" borderId="46" xfId="2" applyNumberFormat="1" applyFont="1" applyFill="1" applyBorder="1" applyAlignment="1">
      <alignment horizontal="center" vertical="center"/>
    </xf>
    <xf numFmtId="44" fontId="7" fillId="0" borderId="59" xfId="2" applyFont="1" applyFill="1" applyBorder="1" applyAlignment="1">
      <alignment horizontal="left" vertical="center"/>
    </xf>
    <xf numFmtId="44" fontId="7" fillId="0" borderId="52" xfId="2" applyFont="1" applyFill="1" applyBorder="1" applyAlignment="1">
      <alignment horizontal="left" vertical="center"/>
    </xf>
    <xf numFmtId="44" fontId="1" fillId="0" borderId="56" xfId="2" applyFont="1" applyFill="1" applyBorder="1" applyAlignment="1">
      <alignment horizontal="left" vertical="center"/>
    </xf>
    <xf numFmtId="182" fontId="1" fillId="0" borderId="59" xfId="2" applyNumberFormat="1" applyFont="1" applyFill="1" applyBorder="1" applyAlignment="1">
      <alignment horizontal="center" vertical="center"/>
    </xf>
    <xf numFmtId="182" fontId="1" fillId="0" borderId="52" xfId="2" applyNumberFormat="1" applyFont="1" applyFill="1" applyBorder="1" applyAlignment="1">
      <alignment horizontal="center" vertical="center"/>
    </xf>
    <xf numFmtId="44" fontId="1" fillId="0" borderId="52" xfId="2" applyFont="1" applyFill="1" applyBorder="1" applyAlignment="1">
      <alignment horizontal="left" vertical="center"/>
    </xf>
    <xf numFmtId="0" fontId="42" fillId="0" borderId="54" xfId="18" applyFont="1" applyFill="1" applyBorder="1" applyAlignment="1">
      <alignment horizontal="left" vertical="center" indent="2"/>
    </xf>
    <xf numFmtId="0" fontId="42" fillId="0" borderId="46" xfId="18" applyFont="1" applyFill="1" applyBorder="1" applyAlignment="1">
      <alignment horizontal="left" vertical="center" indent="2"/>
    </xf>
    <xf numFmtId="0" fontId="6" fillId="0" borderId="56" xfId="18" applyFont="1" applyFill="1" applyBorder="1" applyAlignment="1">
      <alignment horizontal="left" vertical="center"/>
    </xf>
    <xf numFmtId="0" fontId="14" fillId="0" borderId="59" xfId="18" applyFont="1" applyFill="1" applyBorder="1" applyAlignment="1">
      <alignment horizontal="left" vertical="center" indent="2"/>
    </xf>
    <xf numFmtId="9" fontId="7" fillId="0" borderId="52" xfId="2" applyNumberFormat="1" applyFont="1" applyFill="1" applyBorder="1" applyAlignment="1">
      <alignment horizontal="center" vertical="center"/>
    </xf>
    <xf numFmtId="0" fontId="6" fillId="0" borderId="23" xfId="0" applyFont="1" applyBorder="1" applyAlignment="1">
      <alignment horizontal="center"/>
    </xf>
    <xf numFmtId="9" fontId="7" fillId="0" borderId="52" xfId="3" applyFont="1" applyFill="1" applyBorder="1" applyAlignment="1">
      <alignment horizontal="center" vertical="center"/>
    </xf>
    <xf numFmtId="0" fontId="42" fillId="0" borderId="52" xfId="18" applyFont="1" applyFill="1" applyBorder="1" applyAlignment="1">
      <alignment horizontal="left" vertical="center" indent="2"/>
    </xf>
    <xf numFmtId="0" fontId="7" fillId="0" borderId="5" xfId="6" applyFont="1" applyBorder="1"/>
    <xf numFmtId="9" fontId="7" fillId="0" borderId="61" xfId="2" applyNumberFormat="1" applyFont="1" applyFill="1" applyBorder="1" applyAlignment="1">
      <alignment horizontal="center" vertical="center"/>
    </xf>
    <xf numFmtId="9" fontId="7" fillId="0" borderId="37" xfId="2" applyNumberFormat="1" applyFont="1" applyFill="1" applyBorder="1" applyAlignment="1">
      <alignment horizontal="center" vertical="center"/>
    </xf>
    <xf numFmtId="9" fontId="7" fillId="0" borderId="47" xfId="2" applyNumberFormat="1" applyFont="1" applyFill="1" applyBorder="1" applyAlignment="1">
      <alignment horizontal="center" vertical="center"/>
    </xf>
    <xf numFmtId="0" fontId="6" fillId="0" borderId="77" xfId="0" applyFont="1" applyBorder="1" applyAlignment="1">
      <alignment vertical="center"/>
    </xf>
    <xf numFmtId="0" fontId="6" fillId="0" borderId="78" xfId="0" applyFont="1" applyBorder="1" applyAlignment="1">
      <alignment vertical="center"/>
    </xf>
    <xf numFmtId="0" fontId="6" fillId="0" borderId="7" xfId="0" applyFont="1" applyBorder="1" applyAlignment="1">
      <alignment vertical="center"/>
    </xf>
    <xf numFmtId="0" fontId="6" fillId="0" borderId="35" xfId="0" applyFont="1" applyBorder="1" applyAlignment="1">
      <alignment vertical="center"/>
    </xf>
    <xf numFmtId="0" fontId="6" fillId="0" borderId="0" xfId="0" applyFont="1" applyAlignment="1">
      <alignment horizontal="left" vertical="center"/>
    </xf>
    <xf numFmtId="0" fontId="6" fillId="0" borderId="52" xfId="0" applyFont="1" applyBorder="1" applyAlignment="1">
      <alignment horizontal="left" vertical="center"/>
    </xf>
    <xf numFmtId="0" fontId="6" fillId="0" borderId="62" xfId="0" applyFont="1" applyBorder="1" applyAlignment="1">
      <alignment vertical="center"/>
    </xf>
    <xf numFmtId="0" fontId="6" fillId="0" borderId="0" xfId="0" applyFont="1" applyAlignment="1">
      <alignment horizontal="left" indent="1"/>
    </xf>
    <xf numFmtId="0" fontId="11" fillId="37" borderId="55" xfId="165" applyFont="1" applyBorder="1" applyAlignment="1">
      <alignment horizontal="center" vertical="center" wrapText="1"/>
    </xf>
    <xf numFmtId="0" fontId="11" fillId="37" borderId="55" xfId="165" applyFont="1" applyBorder="1" applyAlignment="1">
      <alignment horizontal="left" vertical="center" wrapText="1"/>
    </xf>
    <xf numFmtId="14" fontId="11" fillId="37" borderId="55" xfId="165" applyNumberFormat="1" applyFont="1" applyBorder="1" applyAlignment="1">
      <alignment horizontal="center" vertical="center" wrapText="1"/>
    </xf>
    <xf numFmtId="44" fontId="11" fillId="37" borderId="55" xfId="2" applyFont="1" applyFill="1" applyBorder="1" applyAlignment="1">
      <alignment horizontal="center" vertical="center" wrapText="1"/>
    </xf>
    <xf numFmtId="188" fontId="11" fillId="37" borderId="55" xfId="165" applyNumberFormat="1" applyFont="1" applyBorder="1" applyAlignment="1">
      <alignment horizontal="center" vertical="center" wrapText="1"/>
    </xf>
    <xf numFmtId="44" fontId="11" fillId="37" borderId="55" xfId="165" applyNumberFormat="1" applyFont="1" applyBorder="1" applyAlignment="1">
      <alignment horizontal="center" vertical="center" wrapText="1"/>
    </xf>
    <xf numFmtId="0" fontId="0" fillId="0" borderId="66" xfId="0" applyBorder="1"/>
    <xf numFmtId="0" fontId="0" fillId="0" borderId="66" xfId="0" applyBorder="1" applyAlignment="1">
      <alignment horizontal="center" vertical="center" wrapText="1"/>
    </xf>
    <xf numFmtId="14" fontId="0" fillId="0" borderId="66" xfId="0" applyNumberFormat="1" applyBorder="1" applyAlignment="1">
      <alignment horizontal="center" vertical="center" wrapText="1"/>
    </xf>
    <xf numFmtId="44" fontId="0" fillId="0" borderId="66" xfId="2" applyFont="1" applyBorder="1" applyAlignment="1">
      <alignment horizontal="center" vertical="center" wrapText="1"/>
    </xf>
    <xf numFmtId="188" fontId="0" fillId="0" borderId="66" xfId="2" applyNumberFormat="1" applyFont="1" applyBorder="1" applyAlignment="1">
      <alignment horizontal="center" vertical="center" wrapText="1"/>
    </xf>
    <xf numFmtId="9" fontId="0" fillId="0" borderId="66" xfId="0" applyNumberFormat="1" applyBorder="1" applyAlignment="1">
      <alignment horizontal="center" vertical="center" wrapText="1"/>
    </xf>
    <xf numFmtId="0" fontId="6" fillId="0" borderId="23" xfId="18" applyFont="1" applyFill="1" applyBorder="1" applyAlignment="1">
      <alignment horizontal="left" vertical="center"/>
    </xf>
    <xf numFmtId="44" fontId="6" fillId="0" borderId="64" xfId="2" applyFont="1" applyFill="1" applyBorder="1" applyAlignment="1">
      <alignment horizontal="left" vertical="center"/>
    </xf>
    <xf numFmtId="44" fontId="8" fillId="0" borderId="48" xfId="2" applyFont="1" applyFill="1" applyBorder="1" applyAlignment="1">
      <alignment horizontal="left" vertical="center"/>
    </xf>
    <xf numFmtId="44" fontId="1" fillId="0" borderId="4" xfId="2" applyFont="1" applyFill="1" applyBorder="1" applyAlignment="1">
      <alignment horizontal="left" vertical="center"/>
    </xf>
    <xf numFmtId="44" fontId="1" fillId="0" borderId="39" xfId="2" applyFont="1" applyFill="1" applyBorder="1" applyAlignment="1">
      <alignment horizontal="left" vertical="center"/>
    </xf>
    <xf numFmtId="44" fontId="8" fillId="0" borderId="71" xfId="2" applyFont="1" applyFill="1" applyBorder="1" applyAlignment="1">
      <alignment horizontal="center" vertical="center"/>
    </xf>
    <xf numFmtId="44" fontId="11" fillId="37" borderId="38" xfId="165" applyNumberFormat="1" applyFont="1" applyBorder="1" applyAlignment="1">
      <alignment vertical="center"/>
    </xf>
    <xf numFmtId="10" fontId="1" fillId="0" borderId="0" xfId="3" applyNumberFormat="1" applyFont="1" applyFill="1" applyBorder="1" applyAlignment="1">
      <alignment horizontal="center" vertical="center"/>
    </xf>
    <xf numFmtId="10" fontId="0" fillId="0" borderId="0" xfId="3" applyNumberFormat="1" applyFont="1" applyFill="1" applyAlignment="1">
      <alignment horizontal="center"/>
    </xf>
    <xf numFmtId="10" fontId="0" fillId="0" borderId="0" xfId="0" applyNumberFormat="1" applyAlignment="1">
      <alignment horizontal="center"/>
    </xf>
    <xf numFmtId="10" fontId="6" fillId="0" borderId="2" xfId="3" applyNumberFormat="1" applyFont="1" applyFill="1" applyBorder="1" applyAlignment="1" applyProtection="1">
      <alignment horizontal="center"/>
    </xf>
    <xf numFmtId="0" fontId="6" fillId="0" borderId="77" xfId="0" applyFont="1" applyBorder="1"/>
    <xf numFmtId="0" fontId="6" fillId="0" borderId="76" xfId="0" applyFont="1" applyBorder="1"/>
    <xf numFmtId="0" fontId="6" fillId="0" borderId="76" xfId="0" applyFont="1" applyBorder="1" applyAlignment="1">
      <alignment horizontal="center"/>
    </xf>
    <xf numFmtId="0" fontId="6" fillId="0" borderId="75" xfId="0" applyFont="1" applyBorder="1" applyAlignment="1">
      <alignment horizontal="center"/>
    </xf>
    <xf numFmtId="0" fontId="8" fillId="0" borderId="39" xfId="21" applyFont="1" applyFill="1" applyBorder="1" applyAlignment="1" applyProtection="1">
      <alignment horizontal="center" vertical="center"/>
      <protection locked="0"/>
    </xf>
    <xf numFmtId="0" fontId="8" fillId="0" borderId="5" xfId="21" applyFont="1" applyFill="1" applyBorder="1" applyAlignment="1" applyProtection="1">
      <alignment horizontal="center" vertical="center"/>
      <protection locked="0"/>
    </xf>
    <xf numFmtId="0" fontId="7" fillId="0" borderId="38" xfId="21" applyFont="1" applyFill="1" applyBorder="1" applyAlignment="1" applyProtection="1">
      <alignment horizontal="center" vertical="center"/>
      <protection locked="0"/>
    </xf>
    <xf numFmtId="182" fontId="7" fillId="0" borderId="48" xfId="21" applyNumberFormat="1" applyFont="1" applyFill="1" applyBorder="1" applyAlignment="1" applyProtection="1">
      <alignment horizontal="center" vertical="center"/>
      <protection locked="0"/>
    </xf>
    <xf numFmtId="182" fontId="7" fillId="0" borderId="8" xfId="21" applyNumberFormat="1" applyFont="1" applyFill="1" applyBorder="1" applyAlignment="1" applyProtection="1">
      <alignment horizontal="center" vertical="center"/>
      <protection locked="0"/>
    </xf>
    <xf numFmtId="44" fontId="1" fillId="0" borderId="50" xfId="4" applyNumberFormat="1" applyFill="1" applyBorder="1" applyAlignment="1" applyProtection="1">
      <alignment horizontal="center" vertical="center"/>
      <protection locked="0"/>
    </xf>
    <xf numFmtId="44" fontId="0" fillId="0" borderId="48" xfId="18" applyNumberFormat="1" applyFont="1" applyFill="1" applyBorder="1" applyAlignment="1" applyProtection="1">
      <alignment horizontal="center" vertical="center"/>
      <protection locked="0"/>
    </xf>
    <xf numFmtId="44" fontId="0" fillId="0" borderId="39" xfId="18" applyNumberFormat="1" applyFont="1" applyFill="1" applyBorder="1" applyAlignment="1" applyProtection="1">
      <alignment horizontal="center" vertical="center"/>
      <protection locked="0"/>
    </xf>
    <xf numFmtId="0" fontId="7" fillId="0" borderId="38" xfId="6" applyFont="1" applyBorder="1" applyAlignment="1" applyProtection="1">
      <alignment horizontal="left" vertical="center"/>
      <protection locked="0"/>
    </xf>
    <xf numFmtId="0" fontId="0" fillId="0" borderId="38" xfId="0" applyBorder="1"/>
    <xf numFmtId="190" fontId="14" fillId="0" borderId="49" xfId="3" applyNumberFormat="1" applyFont="1" applyFill="1" applyBorder="1" applyAlignment="1" applyProtection="1">
      <alignment horizontal="center" vertical="center"/>
      <protection locked="0"/>
    </xf>
    <xf numFmtId="0" fontId="11" fillId="37" borderId="38" xfId="165" applyFont="1" applyBorder="1" applyAlignment="1" applyProtection="1">
      <alignment horizontal="center" vertical="center"/>
      <protection locked="0"/>
    </xf>
    <xf numFmtId="0" fontId="6" fillId="0" borderId="6" xfId="18" applyFont="1" applyFill="1" applyBorder="1" applyAlignment="1" applyProtection="1">
      <alignment horizontal="center" vertical="center"/>
      <protection locked="0"/>
    </xf>
    <xf numFmtId="0" fontId="6" fillId="0" borderId="43" xfId="18" applyFont="1" applyFill="1" applyBorder="1" applyAlignment="1" applyProtection="1">
      <alignment vertical="center"/>
      <protection locked="0"/>
    </xf>
    <xf numFmtId="10" fontId="6" fillId="0" borderId="10" xfId="3" applyNumberFormat="1" applyFont="1" applyFill="1" applyBorder="1" applyAlignment="1" applyProtection="1">
      <alignment horizontal="center" vertical="center"/>
      <protection locked="0"/>
    </xf>
    <xf numFmtId="0" fontId="1" fillId="0" borderId="38" xfId="18" applyFill="1" applyBorder="1" applyAlignment="1">
      <alignment vertical="center"/>
    </xf>
    <xf numFmtId="191" fontId="1" fillId="0" borderId="38" xfId="18" applyNumberFormat="1" applyFill="1" applyBorder="1" applyAlignment="1">
      <alignment horizontal="center" vertical="center"/>
    </xf>
    <xf numFmtId="44" fontId="1" fillId="0" borderId="38" xfId="18" applyNumberFormat="1" applyFill="1" applyBorder="1" applyAlignment="1">
      <alignment vertical="center"/>
    </xf>
    <xf numFmtId="0" fontId="11" fillId="39" borderId="38" xfId="172" applyFont="1" applyBorder="1" applyAlignment="1">
      <alignment horizontal="center" vertical="center"/>
    </xf>
    <xf numFmtId="44" fontId="1" fillId="0" borderId="38" xfId="2" applyFont="1" applyFill="1" applyBorder="1" applyAlignment="1">
      <alignment horizontal="center" vertical="center"/>
    </xf>
    <xf numFmtId="44" fontId="7" fillId="0" borderId="12" xfId="2" applyFont="1" applyBorder="1" applyAlignment="1">
      <alignment horizontal="center"/>
    </xf>
    <xf numFmtId="0" fontId="7" fillId="0" borderId="17" xfId="6" applyFont="1" applyBorder="1" applyAlignment="1">
      <alignment horizontal="center"/>
    </xf>
    <xf numFmtId="0" fontId="1" fillId="0" borderId="10" xfId="18" applyFill="1" applyBorder="1" applyAlignment="1">
      <alignment vertical="center"/>
    </xf>
    <xf numFmtId="0" fontId="7" fillId="0" borderId="16" xfId="6" applyFont="1" applyBorder="1" applyAlignment="1">
      <alignment horizontal="left"/>
    </xf>
    <xf numFmtId="0" fontId="0" fillId="0" borderId="10" xfId="18" applyFont="1" applyFill="1" applyBorder="1" applyAlignment="1">
      <alignment vertical="center"/>
    </xf>
    <xf numFmtId="44" fontId="0" fillId="0" borderId="0" xfId="2" applyFont="1" applyAlignment="1" applyProtection="1">
      <alignment vertical="center"/>
      <protection locked="0"/>
    </xf>
    <xf numFmtId="44" fontId="0" fillId="0" borderId="0" xfId="0" applyNumberFormat="1" applyAlignment="1" applyProtection="1">
      <alignment vertical="center"/>
      <protection locked="0"/>
    </xf>
    <xf numFmtId="0" fontId="11" fillId="39" borderId="38" xfId="172" applyFont="1" applyBorder="1" applyAlignment="1" applyProtection="1">
      <alignment horizontal="center" vertical="center" wrapText="1"/>
    </xf>
    <xf numFmtId="10" fontId="6" fillId="0" borderId="11" xfId="3" applyNumberFormat="1" applyFont="1" applyFill="1" applyBorder="1" applyAlignment="1" applyProtection="1">
      <alignment horizontal="center" vertical="center"/>
      <protection locked="0"/>
    </xf>
    <xf numFmtId="2" fontId="0" fillId="0" borderId="0" xfId="0" applyNumberFormat="1" applyAlignment="1" applyProtection="1">
      <alignment vertical="center"/>
      <protection locked="0"/>
    </xf>
    <xf numFmtId="194" fontId="7" fillId="0" borderId="12" xfId="6" applyNumberFormat="1" applyFont="1" applyBorder="1" applyAlignment="1">
      <alignment horizontal="center"/>
    </xf>
    <xf numFmtId="195" fontId="0" fillId="0" borderId="0" xfId="0" applyNumberFormat="1" applyAlignment="1" applyProtection="1">
      <alignment vertical="center"/>
      <protection locked="0"/>
    </xf>
    <xf numFmtId="0" fontId="6" fillId="0" borderId="9" xfId="18" applyFont="1" applyFill="1" applyBorder="1" applyAlignment="1" applyProtection="1">
      <alignment horizontal="center" vertical="center"/>
      <protection locked="0"/>
    </xf>
    <xf numFmtId="0" fontId="7" fillId="0" borderId="12" xfId="6" applyFont="1" applyBorder="1" applyAlignment="1" applyProtection="1">
      <alignment horizontal="center"/>
      <protection locked="0"/>
    </xf>
    <xf numFmtId="0" fontId="11" fillId="39" borderId="9" xfId="172" applyFont="1" applyBorder="1" applyAlignment="1" applyProtection="1">
      <alignment horizontal="center" vertical="center"/>
      <protection locked="0"/>
    </xf>
    <xf numFmtId="0" fontId="6" fillId="0" borderId="11" xfId="3" applyNumberFormat="1" applyFont="1" applyFill="1" applyBorder="1" applyAlignment="1" applyProtection="1">
      <alignment horizontal="center" vertical="center"/>
      <protection locked="0"/>
    </xf>
    <xf numFmtId="10" fontId="6" fillId="0" borderId="4" xfId="3" applyNumberFormat="1" applyFont="1" applyFill="1" applyBorder="1" applyAlignment="1" applyProtection="1">
      <alignment horizontal="center" vertical="center"/>
      <protection locked="0"/>
    </xf>
    <xf numFmtId="0" fontId="6" fillId="0" borderId="63" xfId="4" applyNumberFormat="1" applyFont="1" applyFill="1" applyBorder="1" applyAlignment="1" applyProtection="1">
      <alignment horizontal="center" vertical="center"/>
      <protection locked="0"/>
    </xf>
    <xf numFmtId="44" fontId="0" fillId="0" borderId="60" xfId="4" applyNumberFormat="1" applyFont="1" applyFill="1" applyBorder="1" applyAlignment="1" applyProtection="1">
      <alignment horizontal="center" vertical="center"/>
      <protection locked="0"/>
    </xf>
    <xf numFmtId="44" fontId="0" fillId="0" borderId="55" xfId="18" applyNumberFormat="1" applyFont="1" applyFill="1" applyBorder="1" applyAlignment="1" applyProtection="1">
      <alignment horizontal="center" vertical="center"/>
      <protection locked="0"/>
    </xf>
    <xf numFmtId="44" fontId="1" fillId="0" borderId="60" xfId="4" applyNumberFormat="1" applyFill="1" applyBorder="1" applyAlignment="1" applyProtection="1">
      <alignment horizontal="right" vertical="center"/>
      <protection locked="0"/>
    </xf>
    <xf numFmtId="44" fontId="1" fillId="0" borderId="49" xfId="4" applyNumberFormat="1" applyFill="1" applyBorder="1" applyAlignment="1" applyProtection="1">
      <alignment horizontal="center" vertical="center"/>
    </xf>
    <xf numFmtId="44" fontId="1" fillId="0" borderId="50" xfId="4" applyNumberFormat="1" applyFill="1" applyBorder="1" applyAlignment="1" applyProtection="1">
      <alignment horizontal="center" vertical="center"/>
    </xf>
    <xf numFmtId="44" fontId="0" fillId="0" borderId="5" xfId="18" applyNumberFormat="1" applyFont="1" applyFill="1" applyBorder="1" applyAlignment="1" applyProtection="1">
      <alignment horizontal="center" vertical="center"/>
    </xf>
    <xf numFmtId="10" fontId="0" fillId="0" borderId="37" xfId="18" applyNumberFormat="1" applyFont="1" applyFill="1" applyBorder="1" applyAlignment="1" applyProtection="1">
      <alignment horizontal="center" vertical="center"/>
    </xf>
    <xf numFmtId="0" fontId="0" fillId="0" borderId="47" xfId="18" applyNumberFormat="1" applyFont="1" applyFill="1" applyBorder="1" applyAlignment="1" applyProtection="1">
      <alignment horizontal="center" vertical="center"/>
    </xf>
    <xf numFmtId="187" fontId="7" fillId="0" borderId="60" xfId="2" applyNumberFormat="1" applyFont="1" applyFill="1" applyBorder="1" applyAlignment="1" applyProtection="1">
      <alignment horizontal="center" vertical="center"/>
      <protection locked="0"/>
    </xf>
    <xf numFmtId="44" fontId="7" fillId="0" borderId="50" xfId="2" applyFont="1" applyFill="1" applyBorder="1" applyAlignment="1" applyProtection="1">
      <alignment horizontal="center" vertical="center"/>
      <protection locked="0"/>
    </xf>
    <xf numFmtId="44" fontId="7" fillId="0" borderId="50" xfId="2" applyFont="1" applyFill="1" applyBorder="1" applyAlignment="1" applyProtection="1">
      <alignment horizontal="left" vertical="center"/>
      <protection locked="0"/>
    </xf>
    <xf numFmtId="189" fontId="1" fillId="0" borderId="60" xfId="1" applyNumberFormat="1" applyFont="1" applyFill="1" applyBorder="1" applyAlignment="1" applyProtection="1">
      <alignment horizontal="center" vertical="center"/>
      <protection locked="0"/>
    </xf>
    <xf numFmtId="182" fontId="1" fillId="0" borderId="50" xfId="2" applyNumberFormat="1" applyFont="1" applyFill="1" applyBorder="1" applyAlignment="1" applyProtection="1">
      <alignment horizontal="center" vertical="center"/>
      <protection locked="0"/>
    </xf>
    <xf numFmtId="44" fontId="1" fillId="0" borderId="50" xfId="2" applyFont="1" applyFill="1" applyBorder="1" applyAlignment="1" applyProtection="1">
      <alignment horizontal="left" vertical="center"/>
      <protection locked="0"/>
    </xf>
    <xf numFmtId="44" fontId="7" fillId="0" borderId="60" xfId="2" applyFont="1" applyFill="1" applyBorder="1" applyAlignment="1" applyProtection="1">
      <alignment horizontal="left" vertical="center"/>
      <protection locked="0"/>
    </xf>
    <xf numFmtId="1" fontId="7" fillId="0" borderId="50" xfId="2" applyNumberFormat="1" applyFont="1" applyFill="1" applyBorder="1" applyAlignment="1" applyProtection="1">
      <alignment horizontal="center" vertical="center"/>
      <protection locked="0"/>
    </xf>
    <xf numFmtId="186" fontId="7" fillId="0" borderId="49" xfId="2" applyNumberFormat="1" applyFont="1" applyFill="1" applyBorder="1" applyAlignment="1" applyProtection="1">
      <alignment horizontal="center" vertical="center"/>
      <protection locked="0"/>
    </xf>
    <xf numFmtId="44" fontId="7" fillId="0" borderId="49" xfId="2" applyFont="1" applyFill="1" applyBorder="1" applyAlignment="1" applyProtection="1">
      <alignment horizontal="center" vertical="center"/>
      <protection locked="0"/>
    </xf>
    <xf numFmtId="44" fontId="7" fillId="0" borderId="47" xfId="2" applyFont="1" applyFill="1" applyBorder="1" applyAlignment="1" applyProtection="1">
      <alignment horizontal="center" vertical="center"/>
      <protection locked="0"/>
    </xf>
    <xf numFmtId="44" fontId="7" fillId="0" borderId="60" xfId="2" applyFont="1" applyFill="1" applyBorder="1" applyAlignment="1" applyProtection="1">
      <alignment horizontal="center" vertical="center"/>
      <protection locked="0"/>
    </xf>
    <xf numFmtId="10" fontId="7" fillId="0" borderId="5" xfId="3" applyNumberFormat="1" applyFont="1" applyBorder="1" applyAlignment="1" applyProtection="1">
      <alignment horizontal="center"/>
      <protection locked="0"/>
    </xf>
    <xf numFmtId="183" fontId="7" fillId="0" borderId="54" xfId="2" applyNumberFormat="1" applyFont="1" applyFill="1" applyBorder="1" applyAlignment="1" applyProtection="1">
      <alignment horizontal="center" vertical="center"/>
      <protection locked="0"/>
    </xf>
    <xf numFmtId="10" fontId="7" fillId="0" borderId="52" xfId="3" applyNumberFormat="1" applyFont="1" applyFill="1" applyBorder="1" applyAlignment="1" applyProtection="1">
      <alignment horizontal="center" vertical="center"/>
      <protection locked="0"/>
    </xf>
    <xf numFmtId="44" fontId="0" fillId="0" borderId="50" xfId="2" applyFont="1" applyFill="1" applyBorder="1" applyAlignment="1" applyProtection="1">
      <alignment horizontal="left" vertical="center"/>
      <protection locked="0"/>
    </xf>
    <xf numFmtId="0" fontId="6" fillId="0" borderId="51" xfId="4" applyFont="1" applyFill="1" applyBorder="1" applyAlignment="1" applyProtection="1">
      <alignment vertical="center"/>
      <protection locked="0"/>
    </xf>
    <xf numFmtId="0" fontId="1" fillId="0" borderId="11" xfId="4" applyFill="1" applyBorder="1" applyAlignment="1" applyProtection="1">
      <alignment horizontal="center" vertical="center"/>
      <protection locked="0"/>
    </xf>
    <xf numFmtId="9" fontId="7" fillId="0" borderId="51" xfId="2" applyNumberFormat="1" applyFont="1" applyFill="1" applyBorder="1" applyAlignment="1" applyProtection="1">
      <alignment horizontal="center" vertical="center"/>
      <protection locked="0"/>
    </xf>
    <xf numFmtId="0" fontId="7" fillId="0" borderId="5" xfId="6" applyFont="1" applyBorder="1" applyProtection="1">
      <protection locked="0"/>
    </xf>
    <xf numFmtId="44" fontId="7" fillId="0" borderId="54" xfId="2" applyFont="1" applyFill="1" applyBorder="1" applyAlignment="1" applyProtection="1">
      <alignment horizontal="center" vertical="center"/>
      <protection locked="0"/>
    </xf>
    <xf numFmtId="9" fontId="7" fillId="0" borderId="52" xfId="3" applyFont="1" applyFill="1" applyBorder="1" applyAlignment="1" applyProtection="1">
      <alignment horizontal="center" vertical="center"/>
      <protection locked="0"/>
    </xf>
    <xf numFmtId="0" fontId="0" fillId="0" borderId="55" xfId="0" applyBorder="1"/>
    <xf numFmtId="0" fontId="0" fillId="0" borderId="48" xfId="0" applyBorder="1"/>
    <xf numFmtId="0" fontId="2" fillId="37" borderId="38" xfId="165" applyBorder="1"/>
    <xf numFmtId="3" fontId="7" fillId="0" borderId="38" xfId="6" applyNumberFormat="1" applyFont="1" applyBorder="1" applyAlignment="1" applyProtection="1">
      <alignment horizontal="center" vertical="center"/>
      <protection locked="0"/>
    </xf>
    <xf numFmtId="0" fontId="0" fillId="0" borderId="38" xfId="18" applyFont="1" applyFill="1" applyBorder="1" applyAlignment="1">
      <alignment horizontal="center" vertical="center"/>
    </xf>
    <xf numFmtId="44" fontId="11" fillId="37" borderId="11" xfId="165" applyNumberFormat="1" applyFont="1" applyBorder="1" applyAlignment="1">
      <alignment vertical="center"/>
    </xf>
    <xf numFmtId="44" fontId="11" fillId="37" borderId="9" xfId="165" applyNumberFormat="1" applyFont="1" applyBorder="1" applyAlignment="1">
      <alignment horizontal="center" vertical="center"/>
    </xf>
    <xf numFmtId="0" fontId="6" fillId="0" borderId="7" xfId="0" applyFont="1" applyBorder="1" applyAlignment="1" applyProtection="1">
      <alignment vertical="center"/>
      <protection locked="0"/>
    </xf>
    <xf numFmtId="10" fontId="0" fillId="0" borderId="49" xfId="18" applyNumberFormat="1" applyFont="1" applyFill="1" applyBorder="1" applyAlignment="1" applyProtection="1">
      <alignment horizontal="center" vertical="center"/>
    </xf>
    <xf numFmtId="1" fontId="7" fillId="0" borderId="60" xfId="2" applyNumberFormat="1" applyFont="1" applyFill="1" applyBorder="1" applyAlignment="1" applyProtection="1">
      <alignment horizontal="center" vertical="center"/>
      <protection locked="0"/>
    </xf>
    <xf numFmtId="44" fontId="7" fillId="0" borderId="52" xfId="2" applyFont="1" applyFill="1" applyBorder="1" applyAlignment="1" applyProtection="1">
      <alignment horizontal="center" vertical="center"/>
      <protection locked="0"/>
    </xf>
    <xf numFmtId="44" fontId="8" fillId="0" borderId="71" xfId="2" applyFont="1" applyFill="1" applyBorder="1" applyAlignment="1" applyProtection="1">
      <alignment horizontal="center" vertical="center"/>
    </xf>
    <xf numFmtId="44" fontId="6" fillId="0" borderId="2" xfId="2" applyFont="1" applyFill="1" applyBorder="1" applyAlignment="1">
      <alignment horizontal="right" vertical="center"/>
    </xf>
    <xf numFmtId="44" fontId="8" fillId="0" borderId="48" xfId="2" applyFont="1" applyFill="1" applyBorder="1" applyAlignment="1">
      <alignment horizontal="center" vertical="center"/>
    </xf>
    <xf numFmtId="196" fontId="7" fillId="0" borderId="50" xfId="2" applyNumberFormat="1" applyFont="1" applyFill="1" applyBorder="1" applyAlignment="1" applyProtection="1">
      <alignment horizontal="center" vertical="center"/>
      <protection locked="0"/>
    </xf>
    <xf numFmtId="10" fontId="7" fillId="0" borderId="50" xfId="3" applyNumberFormat="1" applyFont="1" applyFill="1" applyBorder="1" applyAlignment="1" applyProtection="1">
      <alignment horizontal="center" vertical="center"/>
      <protection locked="0"/>
    </xf>
    <xf numFmtId="0" fontId="6" fillId="0" borderId="9" xfId="0" applyFont="1" applyBorder="1" applyProtection="1">
      <protection locked="0"/>
    </xf>
    <xf numFmtId="0" fontId="6" fillId="0" borderId="10" xfId="0" applyFont="1" applyBorder="1" applyProtection="1">
      <protection locked="0"/>
    </xf>
    <xf numFmtId="0" fontId="6" fillId="0" borderId="11" xfId="0" applyFont="1" applyBorder="1" applyProtection="1">
      <protection locked="0"/>
    </xf>
    <xf numFmtId="0" fontId="6" fillId="0" borderId="77" xfId="0" applyFont="1" applyBorder="1" applyAlignment="1" applyProtection="1">
      <alignment horizontal="left" vertical="center"/>
      <protection locked="0"/>
    </xf>
    <xf numFmtId="0" fontId="6" fillId="0" borderId="76" xfId="0" applyFont="1" applyBorder="1" applyAlignment="1" applyProtection="1">
      <alignment horizontal="center" vertical="center"/>
      <protection locked="0"/>
    </xf>
    <xf numFmtId="0" fontId="6" fillId="0" borderId="76" xfId="0" applyFont="1" applyBorder="1" applyAlignment="1" applyProtection="1">
      <alignment horizontal="center" vertical="center" wrapText="1"/>
      <protection locked="0"/>
    </xf>
    <xf numFmtId="0" fontId="6" fillId="0" borderId="75" xfId="0" applyFont="1" applyBorder="1" applyAlignment="1" applyProtection="1">
      <alignment horizontal="center" vertical="center" wrapText="1"/>
      <protection locked="0"/>
    </xf>
    <xf numFmtId="0" fontId="0" fillId="0" borderId="7" xfId="0" applyBorder="1" applyAlignment="1" applyProtection="1">
      <alignment horizontal="left" vertical="center" wrapText="1"/>
      <protection locked="0"/>
    </xf>
    <xf numFmtId="0" fontId="0" fillId="0" borderId="0" xfId="2" applyNumberFormat="1" applyFont="1" applyBorder="1" applyAlignment="1" applyProtection="1">
      <alignment horizontal="center" vertical="center" wrapText="1"/>
      <protection locked="0"/>
    </xf>
    <xf numFmtId="4" fontId="0" fillId="0" borderId="0" xfId="2" applyNumberFormat="1" applyFont="1" applyBorder="1" applyAlignment="1" applyProtection="1">
      <alignment horizontal="center" vertical="center" wrapText="1"/>
      <protection locked="0"/>
    </xf>
    <xf numFmtId="1"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horizontal="center" vertical="center" wrapText="1"/>
      <protection locked="0"/>
    </xf>
    <xf numFmtId="44" fontId="0" fillId="0" borderId="1" xfId="2" applyFont="1" applyBorder="1" applyAlignment="1" applyProtection="1">
      <alignment vertical="center" wrapText="1"/>
      <protection locked="0"/>
    </xf>
    <xf numFmtId="1" fontId="6" fillId="0" borderId="10" xfId="0" applyNumberFormat="1" applyFont="1" applyBorder="1" applyAlignment="1" applyProtection="1">
      <alignment horizontal="center" vertical="center"/>
      <protection locked="0"/>
    </xf>
    <xf numFmtId="44" fontId="6" fillId="0" borderId="10" xfId="2" applyFont="1" applyBorder="1" applyAlignment="1" applyProtection="1">
      <alignment horizontal="center" vertical="center" wrapText="1"/>
      <protection locked="0"/>
    </xf>
    <xf numFmtId="0" fontId="6" fillId="0" borderId="0" xfId="0" applyFont="1" applyProtection="1">
      <protection locked="0"/>
    </xf>
    <xf numFmtId="1" fontId="6" fillId="0" borderId="0" xfId="0" applyNumberFormat="1" applyFont="1" applyAlignment="1" applyProtection="1">
      <alignment horizontal="center" vertical="center"/>
      <protection locked="0"/>
    </xf>
    <xf numFmtId="44" fontId="6" fillId="0" borderId="0" xfId="2" applyFont="1" applyBorder="1" applyAlignment="1" applyProtection="1">
      <alignment horizontal="center" vertical="center"/>
      <protection locked="0"/>
    </xf>
    <xf numFmtId="198" fontId="0" fillId="0" borderId="0" xfId="2" applyNumberFormat="1" applyFont="1" applyBorder="1" applyAlignment="1" applyProtection="1">
      <alignment horizontal="center" vertical="center" wrapText="1"/>
      <protection locked="0"/>
    </xf>
    <xf numFmtId="197"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vertical="center" wrapText="1"/>
      <protection locked="0"/>
    </xf>
    <xf numFmtId="44" fontId="6" fillId="0" borderId="10" xfId="2" applyFont="1" applyBorder="1" applyAlignment="1" applyProtection="1">
      <alignment horizontal="center" vertical="center"/>
      <protection locked="0"/>
    </xf>
    <xf numFmtId="44" fontId="6" fillId="0" borderId="11" xfId="2" applyFont="1" applyBorder="1" applyAlignment="1" applyProtection="1">
      <alignment horizontal="center" vertical="center"/>
      <protection locked="0"/>
    </xf>
    <xf numFmtId="2" fontId="0" fillId="0" borderId="0" xfId="2" applyNumberFormat="1" applyFont="1" applyBorder="1" applyAlignment="1" applyProtection="1">
      <alignment horizontal="center" vertical="center" wrapText="1"/>
      <protection locked="0"/>
    </xf>
    <xf numFmtId="2" fontId="6" fillId="0" borderId="10" xfId="0" applyNumberFormat="1" applyFont="1" applyBorder="1" applyAlignment="1" applyProtection="1">
      <alignment horizontal="center" vertical="center"/>
      <protection locked="0"/>
    </xf>
    <xf numFmtId="0" fontId="0" fillId="5" borderId="0" xfId="0" applyFill="1" applyAlignment="1" applyProtection="1">
      <alignment horizontal="center" vertical="top"/>
      <protection locked="0"/>
    </xf>
    <xf numFmtId="44" fontId="0" fillId="0" borderId="0" xfId="0" applyNumberFormat="1" applyProtection="1">
      <protection locked="0"/>
    </xf>
    <xf numFmtId="44" fontId="6" fillId="0" borderId="0" xfId="2" applyFont="1" applyBorder="1" applyProtection="1">
      <protection locked="0"/>
    </xf>
    <xf numFmtId="44" fontId="43" fillId="0" borderId="38" xfId="173" applyNumberFormat="1" applyFill="1" applyBorder="1" applyAlignment="1" applyProtection="1">
      <alignment horizontal="center" vertical="center"/>
      <protection locked="0"/>
    </xf>
    <xf numFmtId="2" fontId="0" fillId="0" borderId="0" xfId="0" applyNumberFormat="1" applyProtection="1">
      <protection locked="0"/>
    </xf>
    <xf numFmtId="199" fontId="0" fillId="0" borderId="0" xfId="0" applyNumberFormat="1" applyProtection="1">
      <protection locked="0"/>
    </xf>
    <xf numFmtId="200" fontId="0" fillId="0" borderId="0" xfId="0" applyNumberFormat="1" applyProtection="1">
      <protection locked="0"/>
    </xf>
    <xf numFmtId="10" fontId="7" fillId="0" borderId="54" xfId="3" applyNumberFormat="1" applyFont="1" applyFill="1" applyBorder="1" applyAlignment="1" applyProtection="1">
      <alignment horizontal="center" vertical="center"/>
      <protection locked="0"/>
    </xf>
    <xf numFmtId="10" fontId="0" fillId="0" borderId="66" xfId="2" applyNumberFormat="1" applyFont="1" applyBorder="1" applyAlignment="1">
      <alignment horizontal="center" vertical="center" wrapText="1"/>
    </xf>
    <xf numFmtId="0" fontId="0" fillId="0" borderId="38" xfId="0" applyBorder="1" applyAlignment="1" applyProtection="1">
      <alignment horizontal="center"/>
      <protection locked="0"/>
    </xf>
    <xf numFmtId="0" fontId="7" fillId="0" borderId="16" xfId="6" applyFont="1" applyBorder="1"/>
    <xf numFmtId="0" fontId="11" fillId="37" borderId="9" xfId="165" applyFont="1" applyBorder="1" applyAlignment="1" applyProtection="1">
      <alignment horizontal="center" vertical="center"/>
    </xf>
    <xf numFmtId="0" fontId="2" fillId="37" borderId="10" xfId="165" applyBorder="1" applyAlignment="1" applyProtection="1">
      <alignment horizontal="left" vertical="center"/>
    </xf>
    <xf numFmtId="0" fontId="11" fillId="37" borderId="11" xfId="165" applyFont="1" applyBorder="1" applyAlignment="1" applyProtection="1">
      <alignment horizontal="left" vertical="center"/>
    </xf>
    <xf numFmtId="2" fontId="11" fillId="0" borderId="17" xfId="13" applyNumberFormat="1" applyFont="1" applyFill="1" applyBorder="1" applyAlignment="1" applyProtection="1">
      <alignment horizontal="left" vertical="center" wrapText="1"/>
    </xf>
    <xf numFmtId="0" fontId="11" fillId="0" borderId="12" xfId="13" applyFont="1" applyFill="1" applyBorder="1" applyAlignment="1" applyProtection="1">
      <alignment horizontal="left" vertical="center" wrapText="1"/>
    </xf>
    <xf numFmtId="0" fontId="1" fillId="0" borderId="0" xfId="0" applyFont="1"/>
    <xf numFmtId="0" fontId="7" fillId="0" borderId="12" xfId="6" applyFont="1" applyBorder="1" applyAlignment="1">
      <alignment horizontal="center" vertical="center"/>
    </xf>
    <xf numFmtId="0" fontId="8" fillId="0" borderId="38" xfId="13" applyFont="1" applyFill="1" applyBorder="1" applyAlignment="1" applyProtection="1">
      <alignment horizontal="center" vertical="center"/>
    </xf>
    <xf numFmtId="0" fontId="7" fillId="0" borderId="38" xfId="18" applyFont="1" applyFill="1" applyBorder="1" applyAlignment="1" applyProtection="1">
      <alignment horizontal="left" vertical="center"/>
    </xf>
    <xf numFmtId="2" fontId="7" fillId="0" borderId="38" xfId="18" applyNumberFormat="1" applyFont="1" applyFill="1" applyBorder="1" applyAlignment="1" applyProtection="1">
      <alignment horizontal="center" vertical="center"/>
    </xf>
    <xf numFmtId="2" fontId="1" fillId="0" borderId="17" xfId="18" applyNumberFormat="1" applyFill="1" applyBorder="1" applyAlignment="1" applyProtection="1">
      <alignment horizontal="center" vertical="center"/>
    </xf>
    <xf numFmtId="178" fontId="1" fillId="0" borderId="12" xfId="18" applyNumberFormat="1" applyFill="1" applyBorder="1" applyAlignment="1" applyProtection="1">
      <alignment horizontal="center" vertical="center"/>
    </xf>
    <xf numFmtId="2" fontId="1" fillId="0" borderId="12" xfId="18" applyNumberFormat="1" applyFill="1" applyBorder="1" applyAlignment="1" applyProtection="1">
      <alignment horizontal="center" vertical="center"/>
    </xf>
    <xf numFmtId="2" fontId="0" fillId="0" borderId="12" xfId="18" applyNumberFormat="1" applyFont="1" applyFill="1" applyBorder="1" applyAlignment="1" applyProtection="1">
      <alignment horizontal="center" vertical="center"/>
    </xf>
    <xf numFmtId="193" fontId="7" fillId="0" borderId="38" xfId="18" applyNumberFormat="1" applyFont="1" applyFill="1" applyBorder="1" applyAlignment="1" applyProtection="1">
      <alignment horizontal="center" vertical="center"/>
    </xf>
    <xf numFmtId="192" fontId="1" fillId="0" borderId="12" xfId="18" applyNumberFormat="1" applyFill="1" applyBorder="1" applyAlignment="1" applyProtection="1">
      <alignment horizontal="center" vertical="center"/>
    </xf>
    <xf numFmtId="193" fontId="1" fillId="0" borderId="12" xfId="18" applyNumberFormat="1" applyFill="1" applyBorder="1" applyAlignment="1" applyProtection="1">
      <alignment horizontal="center" vertical="center"/>
    </xf>
    <xf numFmtId="180" fontId="1" fillId="0" borderId="12" xfId="18" applyNumberFormat="1" applyFill="1" applyBorder="1" applyAlignment="1" applyProtection="1">
      <alignment horizontal="center" vertical="center"/>
    </xf>
    <xf numFmtId="178" fontId="7" fillId="0" borderId="12" xfId="6" applyNumberFormat="1" applyFont="1" applyBorder="1" applyAlignment="1">
      <alignment horizontal="center" vertical="center"/>
    </xf>
    <xf numFmtId="179" fontId="1" fillId="0" borderId="12" xfId="18" applyNumberFormat="1" applyFill="1" applyBorder="1" applyAlignment="1" applyProtection="1">
      <alignment horizontal="center" vertical="center"/>
    </xf>
    <xf numFmtId="0" fontId="1" fillId="0" borderId="12" xfId="18" applyFill="1" applyBorder="1" applyAlignment="1" applyProtection="1">
      <alignment horizontal="center" vertical="center"/>
    </xf>
    <xf numFmtId="0" fontId="11" fillId="0" borderId="13" xfId="13" applyFont="1" applyFill="1" applyBorder="1" applyAlignment="1" applyProtection="1">
      <alignment horizontal="center" vertical="center"/>
    </xf>
    <xf numFmtId="0" fontId="1" fillId="0" borderId="13" xfId="18" applyFill="1" applyBorder="1" applyAlignment="1" applyProtection="1">
      <alignment horizontal="left" vertical="center"/>
    </xf>
    <xf numFmtId="44" fontId="1" fillId="0" borderId="13" xfId="2" applyFont="1" applyFill="1" applyBorder="1" applyAlignment="1" applyProtection="1">
      <alignment horizontal="center" vertical="center"/>
    </xf>
    <xf numFmtId="0" fontId="7" fillId="0" borderId="13" xfId="6" applyFont="1" applyBorder="1" applyAlignment="1">
      <alignment horizontal="center" vertical="center"/>
    </xf>
    <xf numFmtId="0" fontId="2" fillId="0" borderId="16" xfId="6" applyFont="1" applyBorder="1" applyAlignment="1">
      <alignment horizontal="center" vertical="center"/>
    </xf>
    <xf numFmtId="0" fontId="11" fillId="37" borderId="38" xfId="165" applyFont="1" applyBorder="1" applyAlignment="1" applyProtection="1">
      <alignment horizontal="center" vertical="center" wrapText="1"/>
    </xf>
    <xf numFmtId="0" fontId="2" fillId="0" borderId="17" xfId="6" applyFont="1" applyBorder="1" applyAlignment="1">
      <alignment horizontal="center" vertical="center"/>
    </xf>
    <xf numFmtId="0" fontId="2" fillId="0" borderId="12" xfId="6" applyFont="1" applyBorder="1" applyAlignment="1">
      <alignment horizontal="center" vertical="center"/>
    </xf>
    <xf numFmtId="0" fontId="7" fillId="0" borderId="17" xfId="6" applyFont="1" applyBorder="1"/>
    <xf numFmtId="0" fontId="1" fillId="3" borderId="9" xfId="5" applyBorder="1" applyAlignment="1" applyProtection="1">
      <alignment horizontal="center"/>
    </xf>
    <xf numFmtId="0" fontId="1" fillId="3" borderId="11" xfId="5" applyBorder="1" applyAlignment="1" applyProtection="1">
      <alignment horizontal="left"/>
    </xf>
    <xf numFmtId="0" fontId="1" fillId="3" borderId="38" xfId="5" applyBorder="1" applyAlignment="1" applyProtection="1">
      <alignment horizontal="center"/>
    </xf>
    <xf numFmtId="0" fontId="1" fillId="3" borderId="38" xfId="5" applyBorder="1" applyAlignment="1" applyProtection="1">
      <alignment horizontal="center" vertical="center"/>
    </xf>
    <xf numFmtId="4" fontId="1" fillId="3" borderId="38" xfId="5" applyNumberFormat="1" applyBorder="1" applyAlignment="1" applyProtection="1">
      <alignment horizontal="center" vertical="center"/>
    </xf>
    <xf numFmtId="44" fontId="1" fillId="3" borderId="38" xfId="5" applyNumberFormat="1" applyBorder="1" applyAlignment="1" applyProtection="1">
      <alignment horizontal="center" vertical="center" wrapText="1"/>
    </xf>
    <xf numFmtId="0" fontId="1" fillId="3" borderId="38" xfId="5" applyBorder="1" applyAlignment="1" applyProtection="1">
      <alignment horizontal="center" vertical="center" wrapText="1"/>
    </xf>
    <xf numFmtId="9" fontId="1" fillId="3" borderId="38" xfId="5" applyNumberFormat="1" applyBorder="1" applyAlignment="1" applyProtection="1">
      <alignment horizontal="center" vertical="center" wrapText="1"/>
    </xf>
    <xf numFmtId="10" fontId="1" fillId="3" borderId="38" xfId="5" applyNumberFormat="1" applyBorder="1" applyAlignment="1" applyProtection="1">
      <alignment horizontal="center" vertical="center" wrapText="1"/>
    </xf>
    <xf numFmtId="0" fontId="1" fillId="0" borderId="0" xfId="0" applyFont="1" applyAlignment="1">
      <alignment horizontal="center"/>
    </xf>
    <xf numFmtId="0" fontId="11" fillId="37" borderId="10" xfId="165" applyFont="1" applyBorder="1" applyAlignment="1" applyProtection="1">
      <alignment horizontal="left" vertical="center"/>
    </xf>
    <xf numFmtId="0" fontId="11" fillId="37" borderId="10" xfId="165" applyFont="1" applyBorder="1" applyAlignment="1" applyProtection="1">
      <alignment horizontal="center" vertical="center"/>
    </xf>
    <xf numFmtId="0" fontId="11" fillId="37" borderId="11" xfId="165" applyFont="1" applyBorder="1" applyAlignment="1" applyProtection="1">
      <alignment horizontal="center" vertical="center"/>
    </xf>
    <xf numFmtId="0" fontId="8" fillId="5" borderId="38" xfId="13" applyFont="1" applyFill="1" applyBorder="1" applyAlignment="1" applyProtection="1">
      <alignment horizontal="center" vertical="center"/>
    </xf>
    <xf numFmtId="0" fontId="7" fillId="5" borderId="38" xfId="18" applyFont="1" applyFill="1" applyBorder="1" applyAlignment="1" applyProtection="1">
      <alignment horizontal="left" vertical="center"/>
    </xf>
    <xf numFmtId="0" fontId="7" fillId="5" borderId="38" xfId="18" applyFont="1" applyFill="1" applyBorder="1" applyAlignment="1" applyProtection="1">
      <alignment vertical="center" wrapText="1"/>
    </xf>
    <xf numFmtId="0" fontId="7" fillId="5" borderId="38" xfId="18" applyFont="1" applyFill="1" applyBorder="1" applyAlignment="1" applyProtection="1">
      <alignment horizontal="left" vertical="center" wrapText="1"/>
    </xf>
    <xf numFmtId="0" fontId="1" fillId="0" borderId="38" xfId="0" applyFont="1" applyBorder="1" applyAlignment="1">
      <alignment horizontal="center" vertical="center"/>
    </xf>
    <xf numFmtId="0" fontId="7" fillId="5" borderId="38" xfId="4" applyFont="1" applyFill="1" applyBorder="1" applyAlignment="1" applyProtection="1">
      <alignment vertical="center"/>
    </xf>
    <xf numFmtId="0" fontId="7" fillId="5" borderId="38" xfId="4" applyFont="1" applyFill="1" applyBorder="1" applyAlignment="1" applyProtection="1">
      <alignment vertical="center" wrapText="1"/>
    </xf>
    <xf numFmtId="0" fontId="7" fillId="5" borderId="38" xfId="4" applyFont="1" applyFill="1" applyBorder="1" applyAlignment="1" applyProtection="1">
      <alignment horizontal="left" vertical="center" wrapText="1"/>
    </xf>
    <xf numFmtId="0" fontId="1" fillId="0" borderId="0" xfId="0" applyFont="1" applyAlignment="1">
      <alignment horizontal="center" vertical="center"/>
    </xf>
    <xf numFmtId="0" fontId="11" fillId="37" borderId="9" xfId="165" applyFont="1" applyBorder="1" applyAlignment="1" applyProtection="1">
      <alignment horizontal="left" vertical="center"/>
    </xf>
    <xf numFmtId="0" fontId="7" fillId="0" borderId="12" xfId="6" applyFont="1" applyBorder="1" applyAlignment="1">
      <alignment horizontal="center"/>
    </xf>
    <xf numFmtId="0" fontId="7" fillId="0" borderId="12" xfId="6" applyFont="1" applyBorder="1" applyAlignment="1">
      <alignment horizontal="right"/>
    </xf>
    <xf numFmtId="0" fontId="8" fillId="0" borderId="12" xfId="6" applyFont="1" applyBorder="1" applyAlignment="1">
      <alignment horizontal="center" vertical="center"/>
    </xf>
    <xf numFmtId="4" fontId="8" fillId="0" borderId="12" xfId="6" applyNumberFormat="1" applyFont="1" applyBorder="1" applyAlignment="1">
      <alignment horizontal="center" vertical="center"/>
    </xf>
    <xf numFmtId="9" fontId="8" fillId="0" borderId="12" xfId="2" applyNumberFormat="1" applyFont="1" applyFill="1" applyBorder="1" applyAlignment="1" applyProtection="1">
      <alignment horizontal="center" vertical="center" wrapText="1"/>
    </xf>
    <xf numFmtId="10" fontId="8" fillId="0" borderId="12" xfId="2" applyNumberFormat="1" applyFont="1" applyFill="1" applyBorder="1" applyAlignment="1" applyProtection="1">
      <alignment horizontal="center" vertical="center" wrapText="1"/>
    </xf>
    <xf numFmtId="0" fontId="8" fillId="0" borderId="12" xfId="6" applyFont="1" applyBorder="1" applyAlignment="1">
      <alignment horizontal="center" vertical="center" wrapText="1"/>
    </xf>
    <xf numFmtId="0" fontId="8" fillId="0" borderId="16" xfId="6" applyFont="1" applyBorder="1"/>
    <xf numFmtId="0" fontId="11" fillId="39" borderId="9" xfId="172" applyFont="1" applyBorder="1" applyAlignment="1" applyProtection="1">
      <alignment horizontal="center" vertical="center"/>
    </xf>
    <xf numFmtId="0" fontId="11" fillId="39" borderId="10" xfId="172" applyFont="1" applyBorder="1" applyAlignment="1" applyProtection="1">
      <alignment horizontal="left" vertical="center"/>
    </xf>
    <xf numFmtId="0" fontId="11" fillId="39" borderId="11" xfId="172" applyFont="1" applyBorder="1" applyAlignment="1" applyProtection="1">
      <alignment horizontal="left" vertical="center"/>
    </xf>
    <xf numFmtId="0" fontId="11" fillId="39" borderId="10" xfId="172" applyFont="1" applyBorder="1" applyAlignment="1" applyProtection="1">
      <alignment horizontal="center" vertical="center"/>
    </xf>
    <xf numFmtId="0" fontId="11" fillId="39" borderId="11" xfId="172" applyFont="1" applyBorder="1" applyAlignment="1" applyProtection="1">
      <alignment horizontal="center" vertical="center"/>
    </xf>
    <xf numFmtId="0" fontId="8" fillId="0" borderId="17" xfId="6" applyFont="1" applyBorder="1"/>
    <xf numFmtId="0" fontId="8" fillId="0" borderId="12" xfId="6" applyFont="1" applyBorder="1"/>
    <xf numFmtId="0" fontId="8" fillId="0" borderId="38" xfId="6" applyFont="1" applyBorder="1" applyAlignment="1">
      <alignment horizontal="center"/>
    </xf>
    <xf numFmtId="0" fontId="7" fillId="0" borderId="38" xfId="6" applyFont="1" applyBorder="1" applyAlignment="1">
      <alignment horizontal="left"/>
    </xf>
    <xf numFmtId="10" fontId="7" fillId="0" borderId="38" xfId="3" applyNumberFormat="1" applyFont="1" applyFill="1" applyBorder="1" applyAlignment="1" applyProtection="1">
      <alignment horizontal="center" vertical="center"/>
    </xf>
    <xf numFmtId="0" fontId="11" fillId="0" borderId="14" xfId="6" applyFont="1" applyBorder="1" applyAlignment="1">
      <alignment horizontal="center"/>
    </xf>
    <xf numFmtId="0" fontId="7" fillId="0" borderId="14" xfId="6" applyFont="1" applyBorder="1" applyAlignment="1">
      <alignment horizontal="right"/>
    </xf>
    <xf numFmtId="10" fontId="7" fillId="0" borderId="14" xfId="3" applyNumberFormat="1" applyFont="1" applyFill="1" applyBorder="1" applyAlignment="1" applyProtection="1">
      <alignment horizontal="center" vertical="center"/>
    </xf>
    <xf numFmtId="10" fontId="7" fillId="0" borderId="38" xfId="6" applyNumberFormat="1" applyFont="1" applyBorder="1" applyAlignment="1">
      <alignment horizontal="center" vertical="center"/>
    </xf>
    <xf numFmtId="0" fontId="8" fillId="0" borderId="38" xfId="0" applyFont="1" applyBorder="1" applyAlignment="1">
      <alignment horizontal="center" vertical="center"/>
    </xf>
    <xf numFmtId="0" fontId="7" fillId="0" borderId="38" xfId="4" applyFont="1" applyFill="1" applyBorder="1" applyAlignment="1" applyProtection="1">
      <alignment horizontal="left" vertical="center"/>
    </xf>
    <xf numFmtId="0" fontId="42" fillId="0" borderId="38" xfId="4" applyFont="1" applyFill="1" applyBorder="1" applyAlignment="1" applyProtection="1">
      <alignment horizontal="left" vertical="center"/>
    </xf>
    <xf numFmtId="10" fontId="7" fillId="0" borderId="38" xfId="6" applyNumberFormat="1" applyFont="1" applyBorder="1" applyAlignment="1">
      <alignment horizontal="center"/>
    </xf>
    <xf numFmtId="0" fontId="7" fillId="0" borderId="38" xfId="3" applyNumberFormat="1" applyFont="1" applyFill="1" applyBorder="1" applyAlignment="1" applyProtection="1">
      <alignment horizontal="center"/>
    </xf>
    <xf numFmtId="2" fontId="7" fillId="0" borderId="38" xfId="3" applyNumberFormat="1" applyFont="1" applyFill="1" applyBorder="1" applyAlignment="1" applyProtection="1">
      <alignment horizontal="center" vertical="center"/>
    </xf>
    <xf numFmtId="0" fontId="2" fillId="39" borderId="10" xfId="172" applyBorder="1" applyAlignment="1" applyProtection="1">
      <alignment horizontal="left" vertical="center"/>
    </xf>
    <xf numFmtId="9" fontId="11" fillId="39" borderId="38" xfId="3" applyFont="1" applyFill="1" applyBorder="1" applyAlignment="1" applyProtection="1">
      <alignment horizontal="center" vertical="center"/>
    </xf>
    <xf numFmtId="10" fontId="11" fillId="0" borderId="12" xfId="6" applyNumberFormat="1" applyFont="1" applyBorder="1" applyAlignment="1">
      <alignment horizontal="center" vertical="center"/>
    </xf>
    <xf numFmtId="10" fontId="11" fillId="0" borderId="12" xfId="6" quotePrefix="1" applyNumberFormat="1" applyFont="1" applyBorder="1" applyAlignment="1">
      <alignment horizontal="center" vertical="center"/>
    </xf>
    <xf numFmtId="0" fontId="39" fillId="5" borderId="12" xfId="93" applyFont="1" applyFill="1" applyBorder="1" applyAlignment="1">
      <alignment horizontal="center" vertical="center"/>
    </xf>
    <xf numFmtId="10" fontId="7" fillId="0" borderId="12" xfId="6" applyNumberFormat="1" applyFont="1" applyBorder="1" applyAlignment="1">
      <alignment horizontal="center" vertical="center"/>
    </xf>
    <xf numFmtId="0" fontId="7" fillId="0" borderId="38" xfId="18" applyFont="1" applyFill="1" applyBorder="1" applyAlignment="1" applyProtection="1">
      <alignment vertical="center"/>
    </xf>
    <xf numFmtId="9" fontId="7" fillId="0" borderId="38" xfId="3" applyFont="1" applyFill="1" applyBorder="1" applyAlignment="1" applyProtection="1">
      <alignment horizontal="right" vertical="center"/>
    </xf>
    <xf numFmtId="9" fontId="7" fillId="0" borderId="38" xfId="3" applyFont="1" applyFill="1" applyBorder="1" applyAlignment="1" applyProtection="1">
      <alignment horizontal="center" vertical="center"/>
    </xf>
    <xf numFmtId="178" fontId="7" fillId="0" borderId="38" xfId="18" applyNumberFormat="1" applyFont="1" applyFill="1" applyBorder="1" applyAlignment="1" applyProtection="1">
      <alignment horizontal="right" vertical="center"/>
    </xf>
    <xf numFmtId="178" fontId="7" fillId="0" borderId="38" xfId="18" applyNumberFormat="1" applyFont="1" applyFill="1" applyBorder="1" applyAlignment="1" applyProtection="1">
      <alignment horizontal="center" vertical="center"/>
    </xf>
    <xf numFmtId="0" fontId="7" fillId="0" borderId="14" xfId="6" applyFont="1" applyBorder="1" applyAlignment="1">
      <alignment horizontal="center"/>
    </xf>
    <xf numFmtId="0" fontId="7" fillId="0" borderId="14" xfId="6" applyFont="1" applyBorder="1" applyAlignment="1">
      <alignment horizontal="left"/>
    </xf>
    <xf numFmtId="10" fontId="7" fillId="0" borderId="14" xfId="6" applyNumberFormat="1" applyFont="1" applyBorder="1" applyAlignment="1">
      <alignment horizontal="center" vertical="center"/>
    </xf>
    <xf numFmtId="166" fontId="7" fillId="0" borderId="38" xfId="6" applyNumberFormat="1" applyFont="1" applyBorder="1" applyAlignment="1">
      <alignment horizontal="center" vertical="center"/>
    </xf>
    <xf numFmtId="0" fontId="8" fillId="0" borderId="12" xfId="6" applyFont="1" applyBorder="1" applyAlignment="1">
      <alignment horizontal="center"/>
    </xf>
    <xf numFmtId="0" fontId="8" fillId="0" borderId="12" xfId="6" applyFont="1" applyBorder="1" applyAlignment="1">
      <alignment horizontal="left"/>
    </xf>
    <xf numFmtId="10" fontId="8" fillId="0" borderId="12" xfId="6" applyNumberFormat="1" applyFont="1" applyBorder="1" applyAlignment="1">
      <alignment horizontal="center" vertical="center"/>
    </xf>
    <xf numFmtId="0" fontId="7" fillId="0" borderId="38" xfId="13" applyFont="1" applyFill="1" applyBorder="1" applyAlignment="1" applyProtection="1">
      <alignment horizontal="center" vertical="center"/>
    </xf>
    <xf numFmtId="10" fontId="7" fillId="0" borderId="38" xfId="3"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center" vertical="center"/>
    </xf>
    <xf numFmtId="179" fontId="7" fillId="0" borderId="38" xfId="18" applyNumberFormat="1" applyFont="1" applyFill="1" applyBorder="1" applyAlignment="1" applyProtection="1">
      <alignment horizontal="right" vertical="center"/>
    </xf>
    <xf numFmtId="179" fontId="7" fillId="0" borderId="38" xfId="18" applyNumberFormat="1" applyFont="1" applyFill="1" applyBorder="1" applyAlignment="1" applyProtection="1">
      <alignment horizontal="center" vertical="center"/>
    </xf>
    <xf numFmtId="181" fontId="7" fillId="0" borderId="38" xfId="1" applyNumberFormat="1" applyFont="1" applyFill="1" applyBorder="1" applyAlignment="1" applyProtection="1">
      <alignment horizontal="right" vertical="center"/>
    </xf>
    <xf numFmtId="181" fontId="7" fillId="0" borderId="38" xfId="1" applyNumberFormat="1" applyFont="1" applyFill="1" applyBorder="1" applyAlignment="1" applyProtection="1">
      <alignment horizontal="center" vertical="center"/>
    </xf>
    <xf numFmtId="0" fontId="11" fillId="0" borderId="14" xfId="13" applyFont="1" applyFill="1" applyBorder="1" applyAlignment="1" applyProtection="1">
      <alignment horizontal="center" vertical="center"/>
    </xf>
    <xf numFmtId="0" fontId="1" fillId="0" borderId="14" xfId="18" applyFill="1" applyBorder="1" applyAlignment="1" applyProtection="1">
      <alignment horizontal="left" vertical="center"/>
    </xf>
    <xf numFmtId="10" fontId="1" fillId="0" borderId="14" xfId="3" applyNumberFormat="1" applyFont="1" applyFill="1" applyBorder="1" applyAlignment="1" applyProtection="1">
      <alignment horizontal="right" vertical="center"/>
    </xf>
    <xf numFmtId="10" fontId="7" fillId="0" borderId="38" xfId="18" applyNumberFormat="1" applyFont="1" applyFill="1" applyBorder="1" applyAlignment="1" applyProtection="1">
      <alignment horizontal="center" vertical="center"/>
    </xf>
    <xf numFmtId="0" fontId="7" fillId="0" borderId="38" xfId="18" applyFont="1" applyFill="1" applyBorder="1" applyAlignment="1" applyProtection="1">
      <alignment horizontal="center" vertical="center"/>
    </xf>
    <xf numFmtId="43" fontId="7" fillId="0" borderId="38" xfId="1" applyFont="1" applyFill="1" applyBorder="1" applyAlignment="1" applyProtection="1">
      <alignment horizontal="center" vertical="center"/>
    </xf>
    <xf numFmtId="0" fontId="8" fillId="5" borderId="0" xfId="13" applyFont="1" applyFill="1" applyBorder="1" applyAlignment="1" applyProtection="1">
      <alignment horizontal="center" vertical="center"/>
    </xf>
    <xf numFmtId="0" fontId="7" fillId="5" borderId="0" xfId="18" applyFont="1" applyFill="1" applyBorder="1" applyAlignment="1" applyProtection="1">
      <alignment horizontal="left" vertical="center"/>
    </xf>
    <xf numFmtId="0" fontId="7" fillId="5" borderId="0" xfId="18" applyFont="1" applyFill="1" applyBorder="1" applyAlignment="1" applyProtection="1">
      <alignment vertical="center" wrapText="1"/>
    </xf>
    <xf numFmtId="0" fontId="7" fillId="5" borderId="0" xfId="18" applyFont="1" applyFill="1" applyBorder="1" applyAlignment="1" applyProtection="1">
      <alignment horizontal="left" vertical="center" wrapText="1"/>
    </xf>
    <xf numFmtId="0" fontId="11" fillId="39" borderId="9" xfId="172" applyFont="1" applyBorder="1" applyAlignment="1" applyProtection="1">
      <alignment horizontal="left" vertical="center"/>
    </xf>
    <xf numFmtId="0" fontId="6" fillId="0" borderId="6" xfId="18" applyFont="1" applyFill="1" applyBorder="1" applyAlignment="1" applyProtection="1">
      <alignment horizontal="center" vertical="center"/>
    </xf>
    <xf numFmtId="0" fontId="8" fillId="0" borderId="38" xfId="173" applyFont="1" applyFill="1" applyBorder="1" applyAlignment="1" applyProtection="1">
      <alignment vertical="center"/>
    </xf>
    <xf numFmtId="0" fontId="8" fillId="0" borderId="67" xfId="164" applyFont="1" applyFill="1" applyBorder="1" applyAlignment="1" applyProtection="1">
      <alignment horizontal="center" vertical="center"/>
    </xf>
    <xf numFmtId="0" fontId="8" fillId="0" borderId="38" xfId="18" applyFont="1" applyFill="1" applyBorder="1" applyAlignment="1" applyProtection="1">
      <alignment horizontal="left" vertical="center"/>
    </xf>
    <xf numFmtId="0" fontId="6" fillId="0" borderId="3" xfId="164" applyFont="1" applyFill="1" applyBorder="1" applyAlignment="1" applyProtection="1">
      <alignment horizontal="center" vertical="center"/>
    </xf>
    <xf numFmtId="0" fontId="6" fillId="0" borderId="38" xfId="18" applyFont="1" applyFill="1" applyBorder="1" applyAlignment="1" applyProtection="1">
      <alignment horizontal="left" vertical="center"/>
    </xf>
    <xf numFmtId="0" fontId="6" fillId="0" borderId="9" xfId="164" applyFont="1" applyFill="1" applyBorder="1" applyAlignment="1" applyProtection="1">
      <alignment horizontal="center" vertical="center"/>
    </xf>
    <xf numFmtId="0" fontId="8" fillId="0" borderId="7" xfId="164" applyFont="1" applyFill="1" applyBorder="1" applyAlignment="1" applyProtection="1">
      <alignment horizontal="center" vertical="center"/>
    </xf>
    <xf numFmtId="0" fontId="8" fillId="0" borderId="9" xfId="164" applyFont="1" applyFill="1" applyBorder="1" applyAlignment="1" applyProtection="1">
      <alignment horizontal="center" vertical="center"/>
    </xf>
    <xf numFmtId="0" fontId="8" fillId="0" borderId="65" xfId="13" applyFont="1" applyFill="1" applyBorder="1" applyAlignment="1" applyProtection="1">
      <alignment horizontal="center" vertical="center"/>
    </xf>
    <xf numFmtId="0" fontId="8" fillId="0" borderId="67" xfId="13" applyFont="1" applyFill="1" applyBorder="1" applyAlignment="1" applyProtection="1">
      <alignment horizontal="center" vertical="center"/>
    </xf>
    <xf numFmtId="0" fontId="8" fillId="0" borderId="9" xfId="13" applyFont="1" applyFill="1" applyBorder="1" applyAlignment="1" applyProtection="1">
      <alignment horizontal="center" vertical="center"/>
    </xf>
    <xf numFmtId="0" fontId="8" fillId="0" borderId="40" xfId="13" applyFont="1" applyFill="1" applyBorder="1" applyAlignment="1" applyProtection="1">
      <alignment horizontal="center" vertical="center"/>
    </xf>
    <xf numFmtId="0" fontId="7" fillId="0" borderId="0" xfId="18" applyFont="1" applyFill="1" applyBorder="1" applyAlignment="1" applyProtection="1">
      <alignment horizontal="center" vertical="center"/>
    </xf>
    <xf numFmtId="43" fontId="7" fillId="0" borderId="0" xfId="1" applyFont="1" applyFill="1" applyBorder="1" applyAlignment="1" applyProtection="1">
      <alignment horizontal="center" vertical="center"/>
    </xf>
    <xf numFmtId="0" fontId="11" fillId="39" borderId="11" xfId="172" applyNumberFormat="1" applyFont="1" applyBorder="1" applyAlignment="1" applyProtection="1">
      <alignment horizontal="center" vertical="center"/>
    </xf>
    <xf numFmtId="0" fontId="6" fillId="0" borderId="38" xfId="18" applyFont="1" applyFill="1" applyBorder="1" applyAlignment="1" applyProtection="1">
      <alignment horizontal="center" vertical="center"/>
    </xf>
    <xf numFmtId="0" fontId="1" fillId="0" borderId="10" xfId="18" applyFill="1" applyBorder="1" applyAlignment="1" applyProtection="1">
      <alignment vertical="center"/>
    </xf>
    <xf numFmtId="3" fontId="7" fillId="0" borderId="38" xfId="3" applyNumberFormat="1" applyFont="1" applyFill="1" applyBorder="1" applyAlignment="1" applyProtection="1">
      <alignment horizontal="center" vertical="center"/>
    </xf>
    <xf numFmtId="0" fontId="0" fillId="0" borderId="10" xfId="18" applyFont="1" applyFill="1" applyBorder="1" applyAlignment="1" applyProtection="1">
      <alignment vertical="center"/>
    </xf>
    <xf numFmtId="3" fontId="7" fillId="0" borderId="12" xfId="6" applyNumberFormat="1" applyFont="1" applyBorder="1" applyAlignment="1">
      <alignment horizontal="center" vertical="center"/>
    </xf>
    <xf numFmtId="3" fontId="11" fillId="39" borderId="11" xfId="172" applyNumberFormat="1" applyFont="1" applyBorder="1" applyAlignment="1" applyProtection="1">
      <alignment horizontal="center" vertical="center"/>
    </xf>
    <xf numFmtId="0" fontId="42" fillId="0" borderId="45" xfId="18" applyFont="1" applyFill="1" applyBorder="1" applyAlignment="1" applyProtection="1">
      <alignment horizontal="left" vertical="center" indent="2"/>
      <protection locked="0"/>
    </xf>
    <xf numFmtId="0" fontId="42" fillId="0" borderId="46" xfId="18" applyFont="1" applyFill="1" applyBorder="1" applyAlignment="1" applyProtection="1">
      <alignment horizontal="left" vertical="center" indent="2"/>
      <protection locked="0"/>
    </xf>
    <xf numFmtId="182" fontId="1" fillId="0" borderId="37" xfId="2" applyNumberFormat="1" applyFont="1" applyFill="1" applyBorder="1" applyAlignment="1">
      <alignment horizontal="center" vertical="center"/>
    </xf>
    <xf numFmtId="0" fontId="11" fillId="39" borderId="38" xfId="172" applyFont="1" applyBorder="1" applyAlignment="1" applyProtection="1">
      <alignment horizontal="center" vertical="center" wrapText="1"/>
      <protection locked="0"/>
    </xf>
    <xf numFmtId="10" fontId="1" fillId="0" borderId="50" xfId="4" applyNumberFormat="1" applyFill="1" applyBorder="1" applyAlignment="1" applyProtection="1">
      <alignment horizontal="right" vertical="center"/>
      <protection locked="0"/>
    </xf>
    <xf numFmtId="166" fontId="7" fillId="5" borderId="38" xfId="18" applyNumberFormat="1" applyFont="1" applyFill="1" applyBorder="1" applyAlignment="1" applyProtection="1">
      <alignment horizontal="left" vertical="center" wrapText="1"/>
    </xf>
    <xf numFmtId="201" fontId="7" fillId="0" borderId="38" xfId="18" applyNumberFormat="1" applyFont="1" applyFill="1" applyBorder="1" applyAlignment="1" applyProtection="1">
      <alignment horizontal="right" vertical="center"/>
    </xf>
    <xf numFmtId="44" fontId="6" fillId="0" borderId="0" xfId="2" applyFont="1" applyBorder="1" applyAlignment="1" applyProtection="1">
      <alignment horizontal="center" vertical="center" wrapText="1"/>
      <protection locked="0"/>
    </xf>
    <xf numFmtId="0" fontId="0" fillId="0" borderId="7" xfId="0" applyBorder="1" applyAlignment="1" applyProtection="1">
      <alignment horizontal="left" vertical="center"/>
      <protection locked="0"/>
    </xf>
    <xf numFmtId="202" fontId="0" fillId="0" borderId="0" xfId="0" applyNumberFormat="1" applyProtection="1">
      <protection locked="0"/>
    </xf>
    <xf numFmtId="203" fontId="0" fillId="0" borderId="0" xfId="0" applyNumberFormat="1" applyProtection="1">
      <protection locked="0"/>
    </xf>
    <xf numFmtId="0" fontId="14" fillId="0" borderId="54" xfId="4" applyFont="1" applyFill="1" applyBorder="1" applyAlignment="1" applyProtection="1">
      <alignment horizontal="left" vertical="center" indent="2"/>
      <protection locked="0"/>
    </xf>
    <xf numFmtId="10" fontId="1" fillId="0" borderId="61" xfId="4" applyNumberFormat="1" applyFill="1" applyBorder="1" applyAlignment="1" applyProtection="1">
      <alignment horizontal="right" vertical="center"/>
      <protection locked="0"/>
    </xf>
    <xf numFmtId="0" fontId="14" fillId="0" borderId="46" xfId="4" applyFont="1" applyFill="1" applyBorder="1" applyAlignment="1" applyProtection="1">
      <alignment horizontal="left" vertical="center" indent="2"/>
      <protection locked="0"/>
    </xf>
    <xf numFmtId="10" fontId="1" fillId="0" borderId="47" xfId="4" applyNumberFormat="1" applyFill="1" applyBorder="1" applyAlignment="1" applyProtection="1">
      <alignment horizontal="right" vertical="center"/>
      <protection locked="0"/>
    </xf>
    <xf numFmtId="0" fontId="8" fillId="0" borderId="43" xfId="18" applyFont="1" applyFill="1" applyBorder="1" applyAlignment="1" applyProtection="1">
      <alignment vertical="center"/>
      <protection locked="0"/>
    </xf>
    <xf numFmtId="0" fontId="6" fillId="0" borderId="51" xfId="18" applyFont="1" applyFill="1" applyBorder="1" applyAlignment="1" applyProtection="1">
      <alignment vertical="center"/>
      <protection locked="0"/>
    </xf>
    <xf numFmtId="0" fontId="6" fillId="0" borderId="53" xfId="18" applyFont="1" applyFill="1" applyBorder="1" applyAlignment="1" applyProtection="1">
      <alignment vertical="center"/>
      <protection locked="0"/>
    </xf>
    <xf numFmtId="0" fontId="6" fillId="0" borderId="5" xfId="18" applyFont="1" applyFill="1" applyBorder="1" applyAlignment="1" applyProtection="1">
      <alignment horizontal="center" vertical="center"/>
      <protection locked="0"/>
    </xf>
    <xf numFmtId="0" fontId="14" fillId="0" borderId="54" xfId="18" applyFont="1" applyFill="1" applyBorder="1" applyAlignment="1" applyProtection="1">
      <alignment horizontal="left" vertical="center" indent="2"/>
      <protection locked="0"/>
    </xf>
    <xf numFmtId="0" fontId="14" fillId="0" borderId="52" xfId="18" applyFont="1" applyFill="1" applyBorder="1" applyAlignment="1" applyProtection="1">
      <alignment horizontal="left" vertical="center" indent="2"/>
      <protection locked="0"/>
    </xf>
    <xf numFmtId="10" fontId="6" fillId="0" borderId="8" xfId="18" applyNumberFormat="1" applyFont="1" applyFill="1" applyBorder="1" applyAlignment="1" applyProtection="1">
      <alignment horizontal="center" vertical="center"/>
      <protection locked="0"/>
    </xf>
    <xf numFmtId="0" fontId="6" fillId="0" borderId="53" xfId="18" applyFont="1" applyFill="1" applyBorder="1" applyAlignment="1" applyProtection="1">
      <alignment vertical="center"/>
    </xf>
    <xf numFmtId="0" fontId="2" fillId="0" borderId="5" xfId="172" applyFill="1" applyBorder="1" applyAlignment="1" applyProtection="1">
      <alignment vertical="center"/>
    </xf>
    <xf numFmtId="0" fontId="14" fillId="0" borderId="54" xfId="18" applyFont="1" applyFill="1" applyBorder="1" applyAlignment="1" applyProtection="1">
      <alignment horizontal="left" vertical="center" indent="2"/>
    </xf>
    <xf numFmtId="44" fontId="0" fillId="0" borderId="61" xfId="4"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indent="2"/>
    </xf>
    <xf numFmtId="10" fontId="0" fillId="0" borderId="47" xfId="18" applyNumberFormat="1" applyFont="1" applyFill="1" applyBorder="1" applyAlignment="1" applyProtection="1">
      <alignment horizontal="right" vertical="center"/>
    </xf>
    <xf numFmtId="10" fontId="0" fillId="0" borderId="47" xfId="4" applyNumberFormat="1" applyFont="1" applyFill="1" applyBorder="1" applyAlignment="1" applyProtection="1">
      <alignment horizontal="right" vertical="center"/>
    </xf>
    <xf numFmtId="44" fontId="6" fillId="0" borderId="8" xfId="18" applyNumberFormat="1" applyFont="1" applyFill="1" applyBorder="1" applyAlignment="1" applyProtection="1">
      <alignment horizontal="center" vertical="center"/>
    </xf>
    <xf numFmtId="0" fontId="6" fillId="0" borderId="53" xfId="4" applyFont="1" applyFill="1" applyBorder="1" applyAlignment="1" applyProtection="1">
      <alignment vertical="center"/>
    </xf>
    <xf numFmtId="44" fontId="6" fillId="0" borderId="58" xfId="18"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indent="2"/>
    </xf>
    <xf numFmtId="44"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indent="2"/>
    </xf>
    <xf numFmtId="10" fontId="1" fillId="0" borderId="47" xfId="4" applyNumberFormat="1" applyFill="1" applyBorder="1" applyAlignment="1" applyProtection="1">
      <alignment horizontal="right" vertical="center"/>
    </xf>
    <xf numFmtId="0" fontId="6" fillId="0" borderId="44" xfId="18" applyFont="1" applyFill="1" applyBorder="1" applyAlignment="1" applyProtection="1">
      <alignment vertical="center"/>
    </xf>
    <xf numFmtId="44" fontId="0" fillId="0" borderId="61" xfId="18" applyNumberFormat="1" applyFont="1" applyFill="1" applyBorder="1" applyAlignment="1" applyProtection="1">
      <alignment horizontal="right" vertical="center"/>
    </xf>
    <xf numFmtId="0" fontId="6" fillId="0" borderId="43" xfId="18" applyFont="1" applyFill="1" applyBorder="1" applyAlignment="1" applyProtection="1">
      <alignment vertical="center"/>
    </xf>
    <xf numFmtId="10" fontId="6" fillId="0" borderId="8" xfId="3" applyNumberFormat="1" applyFont="1" applyFill="1" applyBorder="1" applyAlignment="1" applyProtection="1">
      <alignment horizontal="center" vertical="center"/>
    </xf>
    <xf numFmtId="0" fontId="6" fillId="0" borderId="22" xfId="18" applyFont="1" applyFill="1" applyBorder="1" applyAlignment="1" applyProtection="1">
      <alignment vertical="center"/>
    </xf>
    <xf numFmtId="10" fontId="6" fillId="0" borderId="5" xfId="3" applyNumberFormat="1" applyFont="1" applyFill="1" applyBorder="1" applyAlignment="1" applyProtection="1">
      <alignment horizontal="center" vertical="center"/>
    </xf>
    <xf numFmtId="10" fontId="1" fillId="0" borderId="61" xfId="4" applyNumberFormat="1" applyFill="1" applyBorder="1" applyAlignment="1" applyProtection="1">
      <alignment horizontal="right" vertical="center"/>
    </xf>
    <xf numFmtId="10" fontId="6" fillId="0" borderId="1" xfId="3" applyNumberFormat="1" applyFont="1" applyFill="1" applyBorder="1" applyAlignment="1" applyProtection="1">
      <alignment horizontal="center" vertical="center"/>
    </xf>
    <xf numFmtId="44" fontId="6" fillId="0" borderId="63" xfId="18" applyNumberFormat="1" applyFont="1" applyFill="1" applyBorder="1" applyAlignment="1" applyProtection="1">
      <alignment horizontal="center" vertical="center"/>
    </xf>
    <xf numFmtId="2" fontId="7" fillId="0" borderId="38" xfId="18" applyNumberFormat="1" applyFont="1" applyFill="1" applyBorder="1" applyAlignment="1" applyProtection="1">
      <alignment horizontal="right" vertical="center"/>
    </xf>
    <xf numFmtId="0" fontId="7" fillId="0" borderId="43" xfId="173" applyFont="1" applyFill="1" applyBorder="1" applyAlignment="1" applyProtection="1">
      <alignment vertical="center"/>
    </xf>
    <xf numFmtId="0" fontId="7" fillId="0" borderId="38" xfId="173" applyFont="1" applyFill="1" applyBorder="1" applyAlignment="1" applyProtection="1">
      <alignment vertical="center"/>
    </xf>
    <xf numFmtId="0" fontId="7" fillId="0" borderId="38" xfId="18" applyFont="1" applyFill="1" applyBorder="1" applyAlignment="1" applyProtection="1">
      <alignment horizontal="left" vertical="center" wrapText="1"/>
    </xf>
    <xf numFmtId="0" fontId="7" fillId="0" borderId="56" xfId="18" applyFont="1" applyFill="1" applyBorder="1" applyAlignment="1" applyProtection="1">
      <alignment horizontal="left" vertical="center"/>
    </xf>
    <xf numFmtId="0" fontId="1" fillId="0" borderId="4" xfId="18" applyFill="1" applyBorder="1" applyAlignment="1" applyProtection="1">
      <alignment horizontal="left" vertical="center"/>
    </xf>
    <xf numFmtId="0" fontId="1" fillId="0" borderId="38" xfId="18" applyFill="1" applyBorder="1" applyAlignment="1" applyProtection="1">
      <alignment horizontal="left" vertical="center"/>
    </xf>
    <xf numFmtId="0" fontId="1" fillId="0" borderId="10" xfId="18" applyFill="1" applyBorder="1" applyAlignment="1" applyProtection="1">
      <alignment horizontal="left" vertical="center"/>
    </xf>
    <xf numFmtId="0" fontId="1" fillId="0" borderId="23" xfId="18" applyFill="1" applyBorder="1" applyAlignment="1" applyProtection="1">
      <alignment horizontal="left" vertical="center"/>
    </xf>
    <xf numFmtId="0" fontId="7" fillId="0" borderId="11" xfId="18" applyFont="1" applyFill="1" applyBorder="1" applyAlignment="1" applyProtection="1">
      <alignment horizontal="left" vertical="center"/>
    </xf>
    <xf numFmtId="0" fontId="7" fillId="0" borderId="51" xfId="18" applyFont="1" applyFill="1" applyBorder="1" applyAlignment="1" applyProtection="1">
      <alignment horizontal="left" vertical="center"/>
    </xf>
    <xf numFmtId="0" fontId="7" fillId="0" borderId="53" xfId="18" applyFont="1" applyFill="1" applyBorder="1" applyAlignment="1" applyProtection="1">
      <alignment horizontal="left" vertical="center"/>
    </xf>
    <xf numFmtId="0" fontId="6" fillId="0" borderId="53" xfId="4" applyFont="1" applyFill="1" applyBorder="1" applyAlignment="1" applyProtection="1">
      <alignment vertical="center"/>
      <protection locked="0"/>
    </xf>
    <xf numFmtId="191" fontId="1" fillId="0" borderId="38" xfId="18" applyNumberFormat="1" applyFill="1" applyBorder="1" applyAlignment="1" applyProtection="1">
      <alignment horizontal="center" vertical="center"/>
      <protection locked="0"/>
    </xf>
    <xf numFmtId="0" fontId="11" fillId="37" borderId="38" xfId="165" quotePrefix="1" applyFont="1" applyBorder="1" applyAlignment="1" applyProtection="1">
      <alignment horizontal="center" vertical="center"/>
      <protection locked="0"/>
    </xf>
    <xf numFmtId="9" fontId="0" fillId="0" borderId="62" xfId="0" applyNumberFormat="1" applyBorder="1" applyAlignment="1">
      <alignment horizontal="center" vertical="center" wrapText="1"/>
    </xf>
    <xf numFmtId="9" fontId="0" fillId="0" borderId="78" xfId="0" applyNumberFormat="1" applyBorder="1" applyAlignment="1">
      <alignment horizontal="center" vertical="center" wrapText="1"/>
    </xf>
    <xf numFmtId="10" fontId="0" fillId="0" borderId="47" xfId="2" applyNumberFormat="1" applyFont="1" applyBorder="1" applyAlignment="1">
      <alignment horizontal="center" vertical="center" wrapText="1"/>
    </xf>
    <xf numFmtId="0" fontId="41" fillId="0" borderId="66" xfId="0" applyFont="1" applyBorder="1" applyAlignment="1">
      <alignment horizontal="center"/>
    </xf>
    <xf numFmtId="0" fontId="11" fillId="5" borderId="22" xfId="21" applyFont="1" applyFill="1" applyBorder="1" applyAlignment="1" applyProtection="1">
      <alignment horizontal="left" vertical="center" wrapText="1"/>
      <protection locked="0"/>
    </xf>
    <xf numFmtId="0" fontId="7" fillId="0" borderId="9" xfId="20" applyFont="1" applyFill="1" applyBorder="1" applyAlignment="1" applyProtection="1">
      <alignment horizontal="center" vertical="center"/>
      <protection locked="0"/>
    </xf>
    <xf numFmtId="0" fontId="7" fillId="0" borderId="10" xfId="21" applyFont="1" applyFill="1" applyBorder="1" applyAlignment="1" applyProtection="1">
      <alignment vertical="center" wrapText="1"/>
      <protection locked="0"/>
    </xf>
    <xf numFmtId="0" fontId="8" fillId="0" borderId="11" xfId="21" applyFont="1" applyFill="1" applyBorder="1" applyAlignment="1" applyProtection="1">
      <alignment vertical="center" wrapText="1"/>
      <protection locked="0"/>
    </xf>
    <xf numFmtId="0" fontId="6" fillId="0" borderId="7" xfId="0" applyFont="1" applyBorder="1" applyAlignment="1">
      <alignment horizontal="left" indent="1"/>
    </xf>
    <xf numFmtId="10" fontId="6" fillId="0" borderId="0" xfId="3" applyNumberFormat="1" applyFont="1" applyFill="1" applyBorder="1" applyAlignment="1">
      <alignment horizontal="center"/>
    </xf>
    <xf numFmtId="0" fontId="6" fillId="0" borderId="77" xfId="0" applyFont="1" applyBorder="1" applyAlignment="1">
      <alignment horizontal="left"/>
    </xf>
    <xf numFmtId="0" fontId="0" fillId="0" borderId="76" xfId="0" applyBorder="1"/>
    <xf numFmtId="10" fontId="0" fillId="0" borderId="76" xfId="0" applyNumberFormat="1" applyBorder="1" applyAlignment="1">
      <alignment horizontal="center"/>
    </xf>
    <xf numFmtId="203" fontId="0" fillId="0" borderId="0" xfId="2" applyNumberFormat="1" applyFont="1" applyAlignment="1" applyProtection="1">
      <alignment vertical="center"/>
      <protection locked="0"/>
    </xf>
    <xf numFmtId="4" fontId="0" fillId="0" borderId="0" xfId="0" applyNumberFormat="1"/>
    <xf numFmtId="0" fontId="7" fillId="0" borderId="2" xfId="6" applyFont="1" applyBorder="1" applyAlignment="1">
      <alignment horizontal="right"/>
    </xf>
    <xf numFmtId="44" fontId="7" fillId="0" borderId="48" xfId="2" applyFont="1" applyFill="1" applyBorder="1" applyAlignment="1" applyProtection="1">
      <alignment horizontal="center" vertical="center"/>
    </xf>
    <xf numFmtId="182" fontId="1" fillId="0" borderId="49" xfId="2" applyNumberFormat="1" applyFont="1" applyFill="1" applyBorder="1" applyAlignment="1" applyProtection="1">
      <alignment horizontal="center" vertical="center"/>
      <protection locked="0"/>
    </xf>
    <xf numFmtId="44" fontId="7" fillId="0" borderId="38" xfId="6" applyNumberFormat="1" applyFont="1" applyBorder="1" applyAlignment="1" applyProtection="1">
      <alignment horizontal="center"/>
      <protection locked="0"/>
    </xf>
    <xf numFmtId="44" fontId="11" fillId="37" borderId="38" xfId="165" applyNumberFormat="1" applyFont="1" applyBorder="1" applyAlignment="1" applyProtection="1">
      <alignment vertical="center"/>
      <protection locked="0"/>
    </xf>
    <xf numFmtId="44" fontId="8" fillId="3" borderId="38" xfId="5" applyNumberFormat="1" applyFont="1" applyBorder="1" applyAlignment="1" applyProtection="1">
      <alignment horizontal="center"/>
      <protection locked="0"/>
    </xf>
    <xf numFmtId="10" fontId="7" fillId="0" borderId="38" xfId="3" applyNumberFormat="1" applyFont="1" applyFill="1" applyBorder="1" applyProtection="1">
      <protection locked="0"/>
    </xf>
    <xf numFmtId="0" fontId="0" fillId="0" borderId="83" xfId="0" applyBorder="1"/>
    <xf numFmtId="0" fontId="0" fillId="0" borderId="85" xfId="0" applyBorder="1"/>
    <xf numFmtId="10" fontId="0" fillId="0" borderId="86" xfId="3" applyNumberFormat="1" applyFont="1" applyBorder="1"/>
    <xf numFmtId="0" fontId="0" fillId="0" borderId="88" xfId="0" applyBorder="1"/>
    <xf numFmtId="0" fontId="0" fillId="0" borderId="89" xfId="0" applyBorder="1"/>
    <xf numFmtId="44" fontId="0" fillId="0" borderId="94" xfId="0" applyNumberFormat="1" applyBorder="1"/>
    <xf numFmtId="44" fontId="0" fillId="0" borderId="95" xfId="0" applyNumberFormat="1" applyBorder="1"/>
    <xf numFmtId="44" fontId="0" fillId="0" borderId="87" xfId="0" applyNumberFormat="1" applyBorder="1"/>
    <xf numFmtId="0" fontId="0" fillId="0" borderId="84" xfId="0" applyBorder="1"/>
    <xf numFmtId="0" fontId="0" fillId="0" borderId="82" xfId="0" applyBorder="1"/>
    <xf numFmtId="0" fontId="11" fillId="40" borderId="80" xfId="0" applyFont="1" applyFill="1" applyBorder="1" applyAlignment="1">
      <alignment vertical="center"/>
    </xf>
    <xf numFmtId="0" fontId="11" fillId="40" borderId="81" xfId="0" applyFont="1" applyFill="1" applyBorder="1" applyAlignment="1">
      <alignment vertical="center"/>
    </xf>
    <xf numFmtId="0" fontId="11" fillId="40" borderId="90" xfId="0" applyFont="1" applyFill="1" applyBorder="1" applyAlignment="1">
      <alignment vertical="center"/>
    </xf>
    <xf numFmtId="0" fontId="11" fillId="40" borderId="91" xfId="0" applyFont="1" applyFill="1" applyBorder="1" applyAlignment="1">
      <alignment vertical="center"/>
    </xf>
    <xf numFmtId="0" fontId="11" fillId="40" borderId="86" xfId="0" applyFont="1" applyFill="1" applyBorder="1" applyAlignment="1">
      <alignment vertical="center"/>
    </xf>
    <xf numFmtId="0" fontId="11" fillId="40" borderId="87" xfId="0" applyFont="1" applyFill="1" applyBorder="1" applyAlignment="1">
      <alignment vertical="center"/>
    </xf>
    <xf numFmtId="0" fontId="11" fillId="40" borderId="85" xfId="0" applyFont="1" applyFill="1" applyBorder="1" applyAlignment="1">
      <alignment vertical="center"/>
    </xf>
    <xf numFmtId="10" fontId="0" fillId="0" borderId="92" xfId="0" applyNumberFormat="1" applyBorder="1"/>
    <xf numFmtId="10" fontId="0" fillId="0" borderId="93" xfId="0" applyNumberFormat="1" applyBorder="1"/>
    <xf numFmtId="0" fontId="11" fillId="40" borderId="89" xfId="0" applyFont="1" applyFill="1" applyBorder="1" applyAlignment="1">
      <alignment vertical="center"/>
    </xf>
    <xf numFmtId="44" fontId="11" fillId="40" borderId="89" xfId="0" applyNumberFormat="1" applyFont="1" applyFill="1" applyBorder="1" applyAlignment="1">
      <alignment vertical="center"/>
    </xf>
    <xf numFmtId="10" fontId="11" fillId="40" borderId="92" xfId="0" applyNumberFormat="1" applyFont="1" applyFill="1" applyBorder="1" applyAlignment="1">
      <alignment vertical="center"/>
    </xf>
    <xf numFmtId="10" fontId="7" fillId="0" borderId="38" xfId="6" applyNumberFormat="1" applyFont="1" applyBorder="1" applyAlignment="1" applyProtection="1">
      <alignment horizontal="center" vertical="center"/>
      <protection locked="0"/>
    </xf>
    <xf numFmtId="204" fontId="7" fillId="0" borderId="38" xfId="6" applyNumberFormat="1" applyFont="1" applyBorder="1" applyAlignment="1" applyProtection="1">
      <alignment horizontal="center" vertical="center"/>
      <protection locked="0"/>
    </xf>
    <xf numFmtId="204" fontId="0" fillId="0" borderId="0" xfId="2" applyNumberFormat="1" applyFont="1"/>
    <xf numFmtId="0" fontId="11" fillId="40" borderId="48" xfId="0" applyFont="1" applyFill="1" applyBorder="1" applyAlignment="1">
      <alignment vertical="center"/>
    </xf>
    <xf numFmtId="0" fontId="11" fillId="40" borderId="96" xfId="0" applyFont="1" applyFill="1" applyBorder="1" applyAlignment="1">
      <alignment vertical="center"/>
    </xf>
    <xf numFmtId="0" fontId="0" fillId="0" borderId="1" xfId="0" applyBorder="1"/>
    <xf numFmtId="44" fontId="0" fillId="0" borderId="55" xfId="0" applyNumberFormat="1" applyBorder="1"/>
    <xf numFmtId="10" fontId="0" fillId="0" borderId="55" xfId="3" applyNumberFormat="1" applyFont="1" applyBorder="1"/>
    <xf numFmtId="9" fontId="11" fillId="40" borderId="87" xfId="3" applyFont="1" applyFill="1" applyBorder="1" applyAlignment="1">
      <alignment vertical="center"/>
    </xf>
    <xf numFmtId="9" fontId="0" fillId="0" borderId="0" xfId="3" applyFont="1"/>
    <xf numFmtId="9" fontId="0" fillId="0" borderId="83" xfId="3" applyFont="1" applyBorder="1"/>
    <xf numFmtId="205" fontId="6" fillId="0" borderId="10" xfId="0" applyNumberFormat="1" applyFont="1" applyBorder="1" applyAlignment="1" applyProtection="1">
      <alignment horizontal="center" vertical="center"/>
      <protection locked="0"/>
    </xf>
    <xf numFmtId="194" fontId="0" fillId="0" borderId="10" xfId="2" applyNumberFormat="1" applyFont="1" applyFill="1" applyBorder="1" applyAlignment="1" applyProtection="1">
      <alignment vertical="center" wrapText="1"/>
      <protection locked="0"/>
    </xf>
    <xf numFmtId="194" fontId="0" fillId="5" borderId="97" xfId="2" applyNumberFormat="1" applyFont="1" applyFill="1" applyBorder="1" applyAlignment="1" applyProtection="1">
      <alignment vertical="center" wrapText="1"/>
      <protection locked="0"/>
    </xf>
    <xf numFmtId="0" fontId="41" fillId="5" borderId="66" xfId="0" applyFont="1" applyFill="1" applyBorder="1"/>
    <xf numFmtId="0" fontId="41" fillId="5" borderId="50" xfId="0" applyFont="1" applyFill="1" applyBorder="1"/>
    <xf numFmtId="44" fontId="0" fillId="5" borderId="66" xfId="2" applyFont="1" applyFill="1" applyBorder="1" applyAlignment="1">
      <alignment horizontal="center" vertical="center" wrapText="1"/>
    </xf>
    <xf numFmtId="44" fontId="0" fillId="5" borderId="50" xfId="2" applyFont="1" applyFill="1" applyBorder="1"/>
    <xf numFmtId="206" fontId="1" fillId="0" borderId="38" xfId="18" applyNumberFormat="1" applyFill="1" applyBorder="1" applyAlignment="1">
      <alignment horizontal="center" vertical="center"/>
    </xf>
    <xf numFmtId="44" fontId="6" fillId="0" borderId="11" xfId="2" applyFont="1" applyBorder="1" applyAlignment="1" applyProtection="1">
      <alignment horizontal="center" vertical="center" wrapText="1"/>
      <protection locked="0"/>
    </xf>
    <xf numFmtId="200" fontId="0" fillId="0" borderId="0" xfId="0" applyNumberFormat="1"/>
    <xf numFmtId="207" fontId="0" fillId="0" borderId="0" xfId="0" applyNumberFormat="1"/>
    <xf numFmtId="44" fontId="0" fillId="0" borderId="0" xfId="2" applyFont="1" applyBorder="1" applyAlignment="1">
      <alignment horizontal="center"/>
    </xf>
    <xf numFmtId="44" fontId="0" fillId="0" borderId="1" xfId="2" applyFont="1" applyBorder="1" applyAlignment="1">
      <alignment horizontal="center"/>
    </xf>
    <xf numFmtId="44" fontId="1" fillId="0" borderId="0" xfId="2" applyFont="1" applyBorder="1" applyProtection="1"/>
    <xf numFmtId="44" fontId="6" fillId="0" borderId="1" xfId="2" applyFont="1" applyBorder="1" applyProtection="1"/>
    <xf numFmtId="44" fontId="0" fillId="0" borderId="76" xfId="2" applyFont="1" applyBorder="1" applyProtection="1"/>
    <xf numFmtId="44" fontId="0" fillId="0" borderId="75" xfId="2" applyFont="1" applyBorder="1" applyProtection="1"/>
    <xf numFmtId="44" fontId="0" fillId="0" borderId="0" xfId="2" applyFont="1" applyBorder="1"/>
    <xf numFmtId="44" fontId="6" fillId="0" borderId="8" xfId="2" applyFont="1" applyBorder="1" applyProtection="1"/>
    <xf numFmtId="44" fontId="6" fillId="0" borderId="11" xfId="2" applyFont="1" applyBorder="1" applyProtection="1"/>
    <xf numFmtId="44" fontId="0" fillId="0" borderId="0" xfId="0" applyNumberFormat="1"/>
    <xf numFmtId="44" fontId="7" fillId="0" borderId="38" xfId="2" applyFont="1" applyFill="1" applyBorder="1" applyAlignment="1" applyProtection="1">
      <alignment horizontal="center"/>
    </xf>
    <xf numFmtId="44" fontId="0" fillId="0" borderId="0" xfId="2" applyFont="1" applyBorder="1" applyAlignment="1" applyProtection="1">
      <alignment vertical="center" wrapText="1"/>
    </xf>
    <xf numFmtId="44" fontId="0" fillId="0" borderId="1" xfId="2" applyFont="1" applyBorder="1" applyAlignment="1" applyProtection="1">
      <alignment vertical="center" wrapText="1"/>
    </xf>
    <xf numFmtId="44" fontId="6" fillId="0" borderId="10" xfId="2" applyFont="1" applyBorder="1" applyAlignment="1" applyProtection="1">
      <alignment horizontal="center" vertical="center"/>
    </xf>
    <xf numFmtId="44" fontId="6" fillId="0" borderId="11" xfId="2" applyFont="1" applyBorder="1" applyAlignment="1" applyProtection="1">
      <alignment horizontal="center" vertical="center"/>
    </xf>
    <xf numFmtId="44" fontId="0" fillId="0" borderId="50" xfId="2" applyFont="1" applyFill="1" applyBorder="1"/>
    <xf numFmtId="44" fontId="0" fillId="0" borderId="50" xfId="2" applyFont="1" applyFill="1" applyBorder="1" applyAlignment="1">
      <alignment horizontal="center" vertical="center" wrapText="1"/>
    </xf>
    <xf numFmtId="44" fontId="0" fillId="0" borderId="50" xfId="0" applyNumberFormat="1" applyBorder="1"/>
    <xf numFmtId="10" fontId="0" fillId="0" borderId="47" xfId="2" applyNumberFormat="1" applyFont="1" applyFill="1" applyBorder="1" applyAlignment="1">
      <alignment horizontal="center" vertical="center" wrapText="1"/>
    </xf>
    <xf numFmtId="3" fontId="7" fillId="0" borderId="13" xfId="6" applyNumberFormat="1" applyFont="1" applyBorder="1" applyAlignment="1">
      <alignment horizontal="center" vertical="center"/>
    </xf>
    <xf numFmtId="0" fontId="7" fillId="0" borderId="13" xfId="6" applyFont="1" applyBorder="1"/>
    <xf numFmtId="0" fontId="7" fillId="0" borderId="14" xfId="6" applyFont="1" applyBorder="1" applyAlignment="1">
      <alignment horizontal="center" vertical="center"/>
    </xf>
    <xf numFmtId="0" fontId="7" fillId="0" borderId="14" xfId="6" applyFont="1" applyBorder="1"/>
    <xf numFmtId="0" fontId="11" fillId="0" borderId="0" xfId="172" applyFont="1" applyFill="1" applyBorder="1" applyAlignment="1" applyProtection="1">
      <alignment horizontal="center" vertical="center"/>
    </xf>
    <xf numFmtId="3" fontId="11" fillId="0" borderId="0" xfId="172" applyNumberFormat="1" applyFont="1" applyFill="1" applyBorder="1" applyAlignment="1" applyProtection="1">
      <alignment horizontal="center" vertical="center"/>
    </xf>
    <xf numFmtId="10" fontId="7" fillId="0" borderId="0" xfId="3" applyNumberFormat="1" applyFont="1" applyFill="1" applyBorder="1" applyAlignment="1" applyProtection="1">
      <alignment horizontal="center" vertical="center"/>
    </xf>
    <xf numFmtId="3" fontId="7" fillId="0" borderId="0" xfId="3" applyNumberFormat="1" applyFont="1" applyFill="1" applyBorder="1" applyAlignment="1" applyProtection="1">
      <alignment horizontal="center" vertical="center"/>
    </xf>
    <xf numFmtId="0" fontId="7" fillId="0" borderId="0" xfId="6" applyFont="1" applyAlignment="1">
      <alignment horizontal="center" vertical="center"/>
    </xf>
    <xf numFmtId="0" fontId="14" fillId="0" borderId="45" xfId="4" applyFont="1" applyFill="1" applyBorder="1" applyAlignment="1" applyProtection="1">
      <alignment horizontal="left" vertical="center" indent="2"/>
      <protection locked="0"/>
    </xf>
    <xf numFmtId="10" fontId="1" fillId="0" borderId="37" xfId="4" applyNumberFormat="1" applyFill="1" applyBorder="1" applyAlignment="1" applyProtection="1">
      <alignment horizontal="right" vertical="center"/>
      <protection locked="0"/>
    </xf>
    <xf numFmtId="44" fontId="1" fillId="0" borderId="49" xfId="4" applyNumberFormat="1" applyFill="1" applyBorder="1" applyAlignment="1" applyProtection="1">
      <alignment horizontal="right" vertical="center"/>
      <protection locked="0"/>
    </xf>
    <xf numFmtId="44" fontId="0" fillId="0" borderId="12" xfId="0" applyNumberFormat="1" applyBorder="1" applyAlignment="1">
      <alignment vertical="center"/>
    </xf>
    <xf numFmtId="14" fontId="7" fillId="0" borderId="38" xfId="0" applyNumberFormat="1" applyFont="1" applyBorder="1" applyAlignment="1" applyProtection="1">
      <alignment horizontal="center" vertical="top"/>
      <protection locked="0"/>
    </xf>
    <xf numFmtId="49" fontId="7" fillId="0" borderId="38" xfId="0" applyNumberFormat="1" applyFont="1" applyBorder="1" applyAlignment="1" applyProtection="1">
      <alignment horizontal="center" vertical="center"/>
      <protection locked="0"/>
    </xf>
    <xf numFmtId="0" fontId="6" fillId="0" borderId="40" xfId="164" applyFont="1" applyFill="1" applyBorder="1" applyAlignment="1">
      <alignment horizontal="center" vertical="center"/>
    </xf>
    <xf numFmtId="0" fontId="6" fillId="0" borderId="41" xfId="164" applyFont="1" applyFill="1" applyBorder="1" applyAlignment="1">
      <alignment horizontal="center" vertical="center"/>
    </xf>
    <xf numFmtId="0" fontId="6" fillId="0" borderId="42" xfId="164" applyFont="1" applyFill="1" applyBorder="1" applyAlignment="1">
      <alignment horizontal="center" vertical="center"/>
    </xf>
    <xf numFmtId="0" fontId="6" fillId="0" borderId="40" xfId="18" applyFont="1" applyFill="1" applyBorder="1" applyAlignment="1">
      <alignment horizontal="center" vertical="center"/>
    </xf>
    <xf numFmtId="0" fontId="6" fillId="0" borderId="41" xfId="18" applyFont="1" applyFill="1" applyBorder="1" applyAlignment="1">
      <alignment horizontal="center" vertical="center"/>
    </xf>
    <xf numFmtId="0" fontId="6" fillId="0" borderId="42" xfId="18" applyFont="1" applyFill="1" applyBorder="1" applyAlignment="1">
      <alignment horizontal="center" vertical="center"/>
    </xf>
    <xf numFmtId="0" fontId="6" fillId="0" borderId="40" xfId="4" applyFont="1" applyFill="1" applyBorder="1" applyAlignment="1">
      <alignment horizontal="center" vertical="center"/>
    </xf>
    <xf numFmtId="0" fontId="6" fillId="0" borderId="41" xfId="4" applyFont="1" applyFill="1" applyBorder="1" applyAlignment="1">
      <alignment horizontal="center" vertical="center"/>
    </xf>
    <xf numFmtId="0" fontId="6" fillId="0" borderId="42" xfId="4" applyFont="1" applyFill="1" applyBorder="1" applyAlignment="1">
      <alignment horizontal="center" vertical="center"/>
    </xf>
    <xf numFmtId="0" fontId="6" fillId="0" borderId="7" xfId="164" applyFont="1" applyFill="1" applyBorder="1" applyAlignment="1">
      <alignment horizontal="center" vertical="center"/>
    </xf>
    <xf numFmtId="179" fontId="7" fillId="0" borderId="38" xfId="0" applyNumberFormat="1" applyFont="1" applyBorder="1" applyAlignment="1" applyProtection="1">
      <alignment horizontal="center"/>
      <protection locked="0"/>
    </xf>
    <xf numFmtId="44" fontId="7" fillId="0" borderId="38" xfId="0" applyNumberFormat="1" applyFont="1" applyBorder="1" applyAlignment="1" applyProtection="1">
      <alignment horizontal="center" vertical="center"/>
      <protection locked="0"/>
    </xf>
    <xf numFmtId="44" fontId="7" fillId="0" borderId="9" xfId="2" applyFont="1" applyFill="1" applyBorder="1" applyAlignment="1" applyProtection="1">
      <alignment horizontal="center" vertical="center"/>
      <protection locked="0"/>
    </xf>
    <xf numFmtId="44" fontId="7" fillId="0" borderId="11" xfId="2" applyFont="1" applyFill="1" applyBorder="1" applyAlignment="1" applyProtection="1">
      <alignment horizontal="center" vertical="center"/>
      <protection locked="0"/>
    </xf>
    <xf numFmtId="0" fontId="6" fillId="0" borderId="3" xfId="4" applyFont="1" applyFill="1" applyBorder="1" applyAlignment="1">
      <alignment horizontal="center" vertical="center"/>
    </xf>
    <xf numFmtId="0" fontId="6" fillId="0" borderId="7" xfId="4" applyFont="1" applyFill="1" applyBorder="1" applyAlignment="1">
      <alignment horizontal="center" vertical="center"/>
    </xf>
    <xf numFmtId="0" fontId="6" fillId="0" borderId="6" xfId="4" applyFont="1" applyFill="1" applyBorder="1" applyAlignment="1">
      <alignment horizontal="center" vertical="center"/>
    </xf>
    <xf numFmtId="0" fontId="38" fillId="37" borderId="9" xfId="165" applyFont="1" applyBorder="1" applyAlignment="1">
      <alignment horizontal="center" vertical="center" wrapText="1"/>
    </xf>
    <xf numFmtId="0" fontId="38" fillId="37" borderId="10" xfId="165" applyFont="1" applyBorder="1" applyAlignment="1">
      <alignment horizontal="center" vertical="center" wrapText="1"/>
    </xf>
    <xf numFmtId="0" fontId="38" fillId="37" borderId="11" xfId="165" applyFont="1" applyBorder="1" applyAlignment="1">
      <alignment horizontal="center" vertical="center" wrapText="1"/>
    </xf>
    <xf numFmtId="49" fontId="7" fillId="0" borderId="38" xfId="0" applyNumberFormat="1" applyFont="1" applyBorder="1" applyAlignment="1" applyProtection="1">
      <alignment horizontal="center" vertical="top"/>
      <protection locked="0"/>
    </xf>
    <xf numFmtId="0" fontId="7" fillId="0" borderId="38" xfId="0" applyFont="1" applyBorder="1" applyAlignment="1" applyProtection="1">
      <alignment horizontal="left" vertical="center"/>
      <protection locked="0"/>
    </xf>
    <xf numFmtId="49" fontId="7" fillId="0" borderId="38" xfId="0" applyNumberFormat="1" applyFont="1" applyBorder="1" applyAlignment="1" applyProtection="1">
      <alignment horizontal="center"/>
      <protection locked="0"/>
    </xf>
    <xf numFmtId="0" fontId="8" fillId="3" borderId="9" xfId="5" applyFont="1" applyBorder="1" applyAlignment="1" applyProtection="1">
      <alignment horizontal="right"/>
      <protection locked="0"/>
    </xf>
    <xf numFmtId="0" fontId="8" fillId="3" borderId="10" xfId="5" applyFont="1" applyBorder="1" applyAlignment="1" applyProtection="1">
      <alignment horizontal="right"/>
      <protection locked="0"/>
    </xf>
    <xf numFmtId="0" fontId="8" fillId="3" borderId="11" xfId="5" applyFont="1" applyBorder="1" applyAlignment="1" applyProtection="1">
      <alignment horizontal="right"/>
      <protection locked="0"/>
    </xf>
    <xf numFmtId="44" fontId="11" fillId="37" borderId="9" xfId="165" applyNumberFormat="1" applyFont="1" applyBorder="1" applyAlignment="1" applyProtection="1">
      <alignment horizontal="left" vertical="center"/>
      <protection locked="0"/>
    </xf>
    <xf numFmtId="44" fontId="11" fillId="37" borderId="10" xfId="165" applyNumberFormat="1" applyFont="1" applyBorder="1" applyAlignment="1" applyProtection="1">
      <alignment horizontal="left" vertical="center"/>
      <protection locked="0"/>
    </xf>
    <xf numFmtId="44" fontId="11" fillId="37" borderId="11" xfId="165" applyNumberFormat="1" applyFont="1" applyBorder="1" applyAlignment="1" applyProtection="1">
      <alignment horizontal="left" vertical="center"/>
      <protection locked="0"/>
    </xf>
    <xf numFmtId="0" fontId="11" fillId="37" borderId="9" xfId="165" applyFont="1" applyBorder="1" applyAlignment="1" applyProtection="1">
      <alignment horizontal="left"/>
      <protection locked="0"/>
    </xf>
    <xf numFmtId="0" fontId="11" fillId="37" borderId="10" xfId="165" applyFont="1" applyBorder="1" applyAlignment="1" applyProtection="1">
      <alignment horizontal="left"/>
      <protection locked="0"/>
    </xf>
    <xf numFmtId="0" fontId="11" fillId="37" borderId="11" xfId="165" applyFont="1" applyBorder="1" applyAlignment="1" applyProtection="1">
      <alignment horizontal="left"/>
      <protection locked="0"/>
    </xf>
    <xf numFmtId="44" fontId="11" fillId="37" borderId="9" xfId="165" applyNumberFormat="1" applyFont="1" applyBorder="1" applyAlignment="1">
      <alignment horizontal="left"/>
    </xf>
    <xf numFmtId="44" fontId="11" fillId="37" borderId="10" xfId="165" applyNumberFormat="1" applyFont="1" applyBorder="1" applyAlignment="1">
      <alignment horizontal="left"/>
    </xf>
    <xf numFmtId="44" fontId="11" fillId="37" borderId="11" xfId="165" applyNumberFormat="1" applyFont="1" applyBorder="1" applyAlignment="1">
      <alignment horizontal="left"/>
    </xf>
    <xf numFmtId="0" fontId="8" fillId="0" borderId="67" xfId="164" applyFont="1" applyFill="1" applyBorder="1" applyAlignment="1">
      <alignment horizontal="center" vertical="center"/>
    </xf>
    <xf numFmtId="0" fontId="8" fillId="0" borderId="69" xfId="164" applyFont="1" applyFill="1" applyBorder="1" applyAlignment="1">
      <alignment horizontal="center" vertical="center"/>
    </xf>
    <xf numFmtId="0" fontId="8" fillId="0" borderId="70" xfId="164" applyFont="1" applyFill="1" applyBorder="1" applyAlignment="1">
      <alignment horizontal="center" vertical="center"/>
    </xf>
    <xf numFmtId="0" fontId="6" fillId="0" borderId="6" xfId="164" applyFont="1" applyFill="1" applyBorder="1" applyAlignment="1">
      <alignment horizontal="center" vertical="center"/>
    </xf>
    <xf numFmtId="0" fontId="6" fillId="0" borderId="3" xfId="164" applyFont="1" applyFill="1" applyBorder="1" applyAlignment="1">
      <alignment horizontal="center" vertical="center"/>
    </xf>
    <xf numFmtId="0" fontId="8" fillId="0" borderId="3" xfId="164" applyFont="1" applyFill="1" applyBorder="1" applyAlignment="1">
      <alignment horizontal="center" vertical="center"/>
    </xf>
    <xf numFmtId="0" fontId="8" fillId="0" borderId="7" xfId="164" applyFont="1" applyFill="1" applyBorder="1" applyAlignment="1">
      <alignment horizontal="center" vertical="center"/>
    </xf>
    <xf numFmtId="0" fontId="8" fillId="0" borderId="6" xfId="164" applyFont="1" applyFill="1" applyBorder="1" applyAlignment="1">
      <alignment horizontal="center" vertical="center"/>
    </xf>
    <xf numFmtId="0" fontId="8" fillId="0" borderId="3" xfId="13" applyFont="1" applyFill="1" applyBorder="1" applyAlignment="1">
      <alignment horizontal="center" vertical="center"/>
    </xf>
    <xf numFmtId="0" fontId="8" fillId="0" borderId="7" xfId="13" applyFont="1" applyFill="1" applyBorder="1" applyAlignment="1">
      <alignment horizontal="center" vertical="center"/>
    </xf>
    <xf numFmtId="0" fontId="8" fillId="0" borderId="6" xfId="13" applyFont="1" applyFill="1" applyBorder="1" applyAlignment="1">
      <alignment horizontal="center" vertical="center"/>
    </xf>
    <xf numFmtId="0" fontId="8" fillId="0" borderId="40" xfId="13" applyFont="1" applyFill="1" applyBorder="1" applyAlignment="1">
      <alignment horizontal="center" vertical="center"/>
    </xf>
    <xf numFmtId="0" fontId="8" fillId="0" borderId="41" xfId="13" applyFont="1" applyFill="1" applyBorder="1" applyAlignment="1">
      <alignment horizontal="center" vertical="center"/>
    </xf>
    <xf numFmtId="0" fontId="8" fillId="0" borderId="42" xfId="13" applyFont="1" applyFill="1" applyBorder="1" applyAlignment="1">
      <alignment horizontal="center" vertical="center"/>
    </xf>
    <xf numFmtId="0" fontId="6" fillId="0" borderId="76" xfId="0" applyFont="1" applyBorder="1" applyAlignment="1" applyProtection="1">
      <alignment horizontal="center" vertical="center" wrapText="1"/>
      <protection locked="0"/>
    </xf>
    <xf numFmtId="194" fontId="0" fillId="5" borderId="97" xfId="2" applyNumberFormat="1" applyFont="1" applyFill="1" applyBorder="1" applyAlignment="1" applyProtection="1">
      <alignment horizontal="center" vertical="center" wrapText="1"/>
      <protection locked="0"/>
    </xf>
    <xf numFmtId="194" fontId="0" fillId="0" borderId="10" xfId="2" applyNumberFormat="1" applyFont="1" applyFill="1" applyBorder="1" applyAlignment="1" applyProtection="1">
      <alignment horizontal="center" vertical="center" wrapText="1"/>
      <protection locked="0"/>
    </xf>
    <xf numFmtId="0" fontId="0" fillId="0" borderId="79" xfId="0" applyBorder="1" applyAlignment="1" applyProtection="1">
      <alignment horizontal="center" vertical="center"/>
      <protection locked="0"/>
    </xf>
    <xf numFmtId="0" fontId="7" fillId="0" borderId="0" xfId="2" applyNumberFormat="1" applyFont="1" applyBorder="1" applyAlignment="1" applyProtection="1">
      <alignment horizontal="center" vertical="center" wrapText="1"/>
      <protection locked="0"/>
    </xf>
    <xf numFmtId="0" fontId="7" fillId="0" borderId="1" xfId="2" applyNumberFormat="1"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6" fillId="0" borderId="36" xfId="0" applyFont="1" applyBorder="1" applyAlignment="1">
      <alignment horizontal="left" vertical="center"/>
    </xf>
    <xf numFmtId="0" fontId="6" fillId="0" borderId="2" xfId="0" applyFont="1" applyBorder="1" applyAlignment="1">
      <alignment horizontal="left" vertical="center"/>
    </xf>
    <xf numFmtId="0" fontId="6" fillId="0" borderId="36" xfId="0" applyFont="1" applyBorder="1" applyAlignment="1" applyProtection="1">
      <alignment horizontal="center" vertical="center"/>
      <protection locked="0"/>
    </xf>
    <xf numFmtId="0" fontId="6" fillId="0" borderId="37" xfId="0" applyFont="1" applyBorder="1" applyAlignment="1" applyProtection="1">
      <alignment horizontal="center" vertical="center"/>
      <protection locked="0"/>
    </xf>
    <xf numFmtId="49" fontId="7" fillId="0" borderId="52" xfId="0" applyNumberFormat="1" applyFont="1" applyBorder="1" applyAlignment="1" applyProtection="1">
      <alignment horizontal="center"/>
      <protection locked="0"/>
    </xf>
    <xf numFmtId="49" fontId="7" fillId="0" borderId="52" xfId="0" applyNumberFormat="1" applyFont="1" applyBorder="1" applyAlignment="1" applyProtection="1">
      <alignment horizontal="center" vertical="center"/>
      <protection locked="0"/>
    </xf>
    <xf numFmtId="0" fontId="6" fillId="0" borderId="52" xfId="0" applyFont="1" applyBorder="1" applyAlignment="1">
      <alignment horizontal="center" vertical="center"/>
    </xf>
    <xf numFmtId="0" fontId="6" fillId="0" borderId="52" xfId="0" applyFont="1" applyBorder="1" applyAlignment="1" applyProtection="1">
      <alignment horizontal="center" vertical="center"/>
      <protection locked="0"/>
    </xf>
    <xf numFmtId="0" fontId="6" fillId="0" borderId="47" xfId="0" applyFont="1" applyBorder="1" applyAlignment="1" applyProtection="1">
      <alignment horizontal="center" vertical="center"/>
      <protection locked="0"/>
    </xf>
    <xf numFmtId="0" fontId="6" fillId="0" borderId="52" xfId="0" applyFont="1" applyBorder="1" applyAlignment="1">
      <alignment horizontal="left" vertical="center"/>
    </xf>
    <xf numFmtId="0" fontId="9" fillId="6" borderId="3" xfId="12" applyFont="1" applyFill="1" applyBorder="1" applyAlignment="1">
      <alignment horizontal="center"/>
    </xf>
    <xf numFmtId="0" fontId="9" fillId="6" borderId="4" xfId="12" applyFont="1" applyFill="1" applyBorder="1" applyAlignment="1">
      <alignment horizontal="center"/>
    </xf>
    <xf numFmtId="0" fontId="9" fillId="6" borderId="5" xfId="12" applyFont="1" applyFill="1" applyBorder="1" applyAlignment="1">
      <alignment horizontal="center"/>
    </xf>
    <xf numFmtId="0" fontId="10" fillId="6" borderId="6" xfId="12" applyFont="1" applyFill="1" applyBorder="1" applyAlignment="1">
      <alignment horizontal="center"/>
    </xf>
    <xf numFmtId="0" fontId="10" fillId="6" borderId="2" xfId="12" applyFont="1" applyFill="1" applyBorder="1" applyAlignment="1">
      <alignment horizontal="center"/>
    </xf>
    <xf numFmtId="0" fontId="10" fillId="6" borderId="8" xfId="12" applyFont="1" applyFill="1" applyBorder="1" applyAlignment="1">
      <alignment horizontal="center"/>
    </xf>
    <xf numFmtId="0" fontId="7" fillId="0" borderId="52" xfId="0" applyFont="1" applyBorder="1" applyAlignment="1" applyProtection="1">
      <alignment horizontal="center" vertical="center" wrapText="1"/>
      <protection locked="0"/>
    </xf>
    <xf numFmtId="0" fontId="7" fillId="0" borderId="47" xfId="0" applyFont="1" applyBorder="1" applyAlignment="1" applyProtection="1">
      <alignment horizontal="center" vertical="center"/>
      <protection locked="0"/>
    </xf>
    <xf numFmtId="0" fontId="10" fillId="6" borderId="7" xfId="12" applyFont="1" applyFill="1" applyBorder="1" applyAlignment="1">
      <alignment horizontal="center"/>
    </xf>
    <xf numFmtId="0" fontId="10" fillId="6" borderId="0" xfId="12" applyFont="1" applyFill="1" applyAlignment="1">
      <alignment horizontal="center"/>
    </xf>
    <xf numFmtId="0" fontId="10" fillId="6" borderId="1" xfId="12" applyFont="1" applyFill="1" applyBorder="1" applyAlignment="1">
      <alignment horizontal="center"/>
    </xf>
    <xf numFmtId="0" fontId="8" fillId="0" borderId="62" xfId="0" applyFont="1" applyBorder="1" applyAlignment="1" applyProtection="1">
      <alignment vertical="top" wrapText="1"/>
      <protection locked="0"/>
    </xf>
    <xf numFmtId="0" fontId="8" fillId="0" borderId="52" xfId="0" applyFont="1" applyBorder="1" applyAlignment="1" applyProtection="1">
      <alignment vertical="top" wrapText="1"/>
      <protection locked="0"/>
    </xf>
    <xf numFmtId="0" fontId="8" fillId="0" borderId="47" xfId="0" applyFont="1" applyBorder="1" applyAlignment="1" applyProtection="1">
      <alignment vertical="top" wrapText="1"/>
      <protection locked="0"/>
    </xf>
    <xf numFmtId="0" fontId="7" fillId="0" borderId="76" xfId="0" applyFont="1" applyBorder="1" applyAlignment="1" applyProtection="1">
      <alignment horizontal="center" vertical="center" wrapText="1"/>
      <protection locked="0"/>
    </xf>
    <xf numFmtId="0" fontId="7" fillId="0" borderId="52" xfId="1" applyNumberFormat="1" applyFont="1" applyBorder="1" applyAlignment="1" applyProtection="1">
      <alignment horizontal="center" vertical="center" wrapText="1"/>
      <protection locked="0"/>
    </xf>
    <xf numFmtId="167" fontId="0" fillId="0" borderId="76" xfId="0" applyNumberFormat="1" applyBorder="1" applyAlignment="1" applyProtection="1">
      <alignment horizontal="center"/>
      <protection locked="0"/>
    </xf>
    <xf numFmtId="167" fontId="0" fillId="0" borderId="75" xfId="0" applyNumberFormat="1" applyBorder="1" applyAlignment="1" applyProtection="1">
      <alignment horizontal="center"/>
      <protection locked="0"/>
    </xf>
    <xf numFmtId="0" fontId="6" fillId="0" borderId="76" xfId="0" applyFont="1" applyBorder="1" applyAlignment="1">
      <alignment horizontal="left" vertical="center"/>
    </xf>
    <xf numFmtId="0" fontId="11" fillId="37" borderId="38" xfId="165" applyFont="1" applyBorder="1" applyAlignment="1" applyProtection="1">
      <alignment horizontal="center" vertical="center" wrapText="1"/>
    </xf>
    <xf numFmtId="0" fontId="11" fillId="37" borderId="39" xfId="165" applyFont="1" applyBorder="1" applyAlignment="1" applyProtection="1">
      <alignment horizontal="center" vertical="center" wrapText="1"/>
    </xf>
    <xf numFmtId="0" fontId="11" fillId="37" borderId="55" xfId="165" applyFont="1" applyBorder="1" applyAlignment="1" applyProtection="1">
      <alignment horizontal="center" vertical="center" wrapText="1"/>
    </xf>
    <xf numFmtId="0" fontId="11" fillId="37" borderId="48" xfId="165" applyFont="1" applyBorder="1" applyAlignment="1" applyProtection="1">
      <alignment horizontal="center" vertical="center" wrapText="1"/>
    </xf>
    <xf numFmtId="0" fontId="8" fillId="5" borderId="39" xfId="13" applyFont="1" applyFill="1" applyBorder="1" applyAlignment="1" applyProtection="1">
      <alignment horizontal="center" vertical="center"/>
    </xf>
    <xf numFmtId="0" fontId="8" fillId="5" borderId="48" xfId="13" applyFont="1" applyFill="1" applyBorder="1" applyAlignment="1" applyProtection="1">
      <alignment horizontal="center" vertical="center"/>
    </xf>
    <xf numFmtId="0" fontId="2" fillId="37" borderId="39" xfId="165" applyBorder="1" applyAlignment="1" applyProtection="1">
      <alignment horizontal="center" vertical="center"/>
    </xf>
    <xf numFmtId="0" fontId="2" fillId="37" borderId="55" xfId="165" applyBorder="1" applyAlignment="1" applyProtection="1">
      <alignment horizontal="center" vertical="center"/>
    </xf>
    <xf numFmtId="0" fontId="2" fillId="37" borderId="48" xfId="165" applyBorder="1" applyAlignment="1" applyProtection="1">
      <alignment horizontal="center" vertical="center"/>
    </xf>
    <xf numFmtId="0" fontId="11" fillId="37" borderId="39" xfId="165" applyFont="1" applyBorder="1" applyAlignment="1" applyProtection="1">
      <alignment horizontal="center" vertical="center"/>
    </xf>
    <xf numFmtId="0" fontId="11" fillId="37" borderId="55" xfId="165" applyFont="1" applyBorder="1" applyAlignment="1" applyProtection="1">
      <alignment horizontal="center" vertical="center"/>
    </xf>
    <xf numFmtId="0" fontId="11" fillId="37" borderId="48" xfId="165" applyFont="1" applyBorder="1" applyAlignment="1" applyProtection="1">
      <alignment horizontal="center" vertical="center"/>
    </xf>
    <xf numFmtId="0" fontId="8" fillId="0" borderId="38" xfId="0" applyFont="1" applyBorder="1" applyAlignment="1">
      <alignment horizontal="center" vertical="center"/>
    </xf>
  </cellXfs>
  <cellStyles count="226">
    <cellStyle name="20% - Ênfase1" xfId="18" builtinId="30"/>
    <cellStyle name="20% - Ênfase1 2" xfId="118"/>
    <cellStyle name="20% - Ênfase2 2" xfId="119"/>
    <cellStyle name="20% - Ênfase3 2" xfId="120"/>
    <cellStyle name="20% - Ênfase4 2" xfId="121"/>
    <cellStyle name="20% - Ênfase5" xfId="171" builtinId="46"/>
    <cellStyle name="20% - Ênfase5 2" xfId="122"/>
    <cellStyle name="20% - Ênfase6" xfId="20" builtinId="50"/>
    <cellStyle name="20% - Ênfase6 2" xfId="123"/>
    <cellStyle name="40% - Ênfase1" xfId="4" builtinId="31"/>
    <cellStyle name="40% - Ênfase1 2" xfId="124"/>
    <cellStyle name="40% - Ênfase2 2" xfId="125"/>
    <cellStyle name="40% - Ênfase3 2" xfId="126"/>
    <cellStyle name="40% - Ênfase4 2" xfId="127"/>
    <cellStyle name="40% - Ênfase5" xfId="5" builtinId="47"/>
    <cellStyle name="40% - Ênfase5 2" xfId="128"/>
    <cellStyle name="40% - Ênfase6" xfId="21" builtinId="51"/>
    <cellStyle name="40% - Ênfase6 2" xfId="129"/>
    <cellStyle name="60% - Ênfase1" xfId="164" builtinId="32"/>
    <cellStyle name="60% - Ênfase1 2" xfId="130"/>
    <cellStyle name="60% - Ênfase2 2" xfId="131"/>
    <cellStyle name="60% - Ênfase3 2" xfId="132"/>
    <cellStyle name="60% - Ênfase3 3" xfId="160"/>
    <cellStyle name="60% - Ênfase4" xfId="14" builtinId="44"/>
    <cellStyle name="60% - Ênfase4 2" xfId="133"/>
    <cellStyle name="60% - Ênfase5" xfId="172" builtinId="48"/>
    <cellStyle name="60% - Ênfase5 2" xfId="134"/>
    <cellStyle name="60% - Ênfase6" xfId="15" builtinId="52"/>
    <cellStyle name="60% - Ênfase6 2" xfId="135"/>
    <cellStyle name="Bom 2" xfId="136"/>
    <cellStyle name="Cálculo 2" xfId="137"/>
    <cellStyle name="Célula de Verificação 2" xfId="138"/>
    <cellStyle name="Célula Vinculada 2" xfId="139"/>
    <cellStyle name="Ênfase1" xfId="13" builtinId="29"/>
    <cellStyle name="Ênfase1 2" xfId="140"/>
    <cellStyle name="Ênfase2 2" xfId="141"/>
    <cellStyle name="Ênfase3 2" xfId="142"/>
    <cellStyle name="Ênfase4 2" xfId="143"/>
    <cellStyle name="Ênfase5" xfId="165" builtinId="45"/>
    <cellStyle name="Ênfase5 2" xfId="144"/>
    <cellStyle name="Ênfase6" xfId="19" builtinId="49"/>
    <cellStyle name="Ênfase6 2" xfId="145"/>
    <cellStyle name="Entrada 2" xfId="146"/>
    <cellStyle name="Euro" xfId="24"/>
    <cellStyle name="Excel Built-in Comma" xfId="36"/>
    <cellStyle name="Excel Built-in Currency" xfId="37"/>
    <cellStyle name="Excel Built-in Normal" xfId="38"/>
    <cellStyle name="Excel Built-in Percent" xfId="39"/>
    <cellStyle name="Heading" xfId="40"/>
    <cellStyle name="Heading1" xfId="41"/>
    <cellStyle name="Hiperlink" xfId="173" builtinId="8"/>
    <cellStyle name="Incorreto 2" xfId="147"/>
    <cellStyle name="Moeda" xfId="2" builtinId="4"/>
    <cellStyle name="Moeda 10" xfId="115"/>
    <cellStyle name="Moeda 10 2" xfId="216"/>
    <cellStyle name="Moeda 11" xfId="49"/>
    <cellStyle name="Moeda 11 2" xfId="184"/>
    <cellStyle name="Moeda 12" xfId="166"/>
    <cellStyle name="Moeda 13" xfId="175"/>
    <cellStyle name="Moeda 2" xfId="8"/>
    <cellStyle name="Moeda 2 2" xfId="58"/>
    <cellStyle name="Moeda 2 3" xfId="90"/>
    <cellStyle name="Moeda 2 4" xfId="53"/>
    <cellStyle name="Moeda 2 5" xfId="50"/>
    <cellStyle name="Moeda 2 6" xfId="162"/>
    <cellStyle name="Moeda 2 6 2" xfId="222"/>
    <cellStyle name="Moeda 2 7" xfId="158"/>
    <cellStyle name="Moeda 2 7 2" xfId="219"/>
    <cellStyle name="Moeda 2 8" xfId="177"/>
    <cellStyle name="Moeda 3" xfId="25"/>
    <cellStyle name="Moeda 3 2" xfId="46"/>
    <cellStyle name="Moeda 3 2 2" xfId="101"/>
    <cellStyle name="Moeda 3 2 2 2" xfId="204"/>
    <cellStyle name="Moeda 3 2 3" xfId="57"/>
    <cellStyle name="Moeda 3 2 3 2" xfId="186"/>
    <cellStyle name="Moeda 3 3" xfId="92"/>
    <cellStyle name="Moeda 3 4" xfId="103"/>
    <cellStyle name="Moeda 3 4 2" xfId="205"/>
    <cellStyle name="Moeda 3 5" xfId="64"/>
    <cellStyle name="Moeda 3 5 2" xfId="188"/>
    <cellStyle name="Moeda 3 6" xfId="180"/>
    <cellStyle name="Moeda 4" xfId="17"/>
    <cellStyle name="Moeda 4 2" xfId="88"/>
    <cellStyle name="Moeda 4 3" xfId="65"/>
    <cellStyle name="Moeda 5" xfId="32"/>
    <cellStyle name="Moeda 5 2" xfId="66"/>
    <cellStyle name="Moeda 6" xfId="67"/>
    <cellStyle name="Moeda 7" xfId="52"/>
    <cellStyle name="Moeda 8" xfId="91"/>
    <cellStyle name="Moeda 8 2" xfId="114"/>
    <cellStyle name="Moeda 8 2 2" xfId="215"/>
    <cellStyle name="Moeda 8 3" xfId="198"/>
    <cellStyle name="Moeda 9" xfId="98"/>
    <cellStyle name="Moeda 9 2" xfId="202"/>
    <cellStyle name="Neutra 2" xfId="148"/>
    <cellStyle name="Normal" xfId="0" builtinId="0"/>
    <cellStyle name="Normal 10" xfId="93"/>
    <cellStyle name="Normal 2" xfId="6"/>
    <cellStyle name="Normal 2 2" xfId="11"/>
    <cellStyle name="Normal 2 2 2" xfId="29"/>
    <cellStyle name="Normal 2 2 3" xfId="169"/>
    <cellStyle name="Normal 2 3" xfId="35"/>
    <cellStyle name="Normal 2 3 2" xfId="117"/>
    <cellStyle name="Normal 2 4" xfId="167"/>
    <cellStyle name="Normal 3" xfId="22"/>
    <cellStyle name="Normal 3 2" xfId="45"/>
    <cellStyle name="Normal 3 2 2" xfId="63"/>
    <cellStyle name="Normal 3 3" xfId="68"/>
    <cellStyle name="Normal 4" xfId="30"/>
    <cellStyle name="Normal 4 2" xfId="69"/>
    <cellStyle name="Normal 5" xfId="12"/>
    <cellStyle name="Normal 5 2" xfId="42"/>
    <cellStyle name="Normal 5 3" xfId="34"/>
    <cellStyle name="Normal 5 4" xfId="70"/>
    <cellStyle name="Normal 6" xfId="71"/>
    <cellStyle name="Normal 7" xfId="72"/>
    <cellStyle name="Normal 8" xfId="60"/>
    <cellStyle name="Normal 9" xfId="51"/>
    <cellStyle name="Normal 9 2" xfId="99"/>
    <cellStyle name="Nota 2" xfId="149"/>
    <cellStyle name="Porcentagem" xfId="3" builtinId="5"/>
    <cellStyle name="Porcentagem 2" xfId="9"/>
    <cellStyle name="Porcentagem 2 2" xfId="27"/>
    <cellStyle name="Porcentagem 2 3" xfId="59"/>
    <cellStyle name="Porcentagem 2 4" xfId="54"/>
    <cellStyle name="Porcentagem 2 5" xfId="95"/>
    <cellStyle name="Porcentagem 3" xfId="26"/>
    <cellStyle name="Porcentagem 3 2" xfId="61"/>
    <cellStyle name="Porcentagem 3 3" xfId="73"/>
    <cellStyle name="Porcentagem 4" xfId="16"/>
    <cellStyle name="Porcentagem 4 2" xfId="87"/>
    <cellStyle name="Porcentagem 4 3" xfId="74"/>
    <cellStyle name="Porcentagem 5" xfId="33"/>
    <cellStyle name="Porcentagem 5 2" xfId="56"/>
    <cellStyle name="Result" xfId="43"/>
    <cellStyle name="Result2" xfId="44"/>
    <cellStyle name="Saída 2" xfId="150"/>
    <cellStyle name="Separador de milhares 2" xfId="75"/>
    <cellStyle name="Separador de milhares 2 2" xfId="104"/>
    <cellStyle name="Separador de milhares 2 2 2" xfId="170"/>
    <cellStyle name="Separador de milhares 2 2 2 2" xfId="225"/>
    <cellStyle name="Separador de milhares 2 3" xfId="168"/>
    <cellStyle name="Separador de milhares 2 3 2" xfId="224"/>
    <cellStyle name="Separador de milhares 3" xfId="48"/>
    <cellStyle name="Separador de milhares 3 2" xfId="89"/>
    <cellStyle name="Separador de milhares 3 2 2" xfId="113"/>
    <cellStyle name="Separador de milhares 3 2 2 2" xfId="214"/>
    <cellStyle name="Separador de milhares 3 2 3" xfId="197"/>
    <cellStyle name="Separador de milhares 3 3" xfId="76"/>
    <cellStyle name="Separador de milhares 3 3 2" xfId="105"/>
    <cellStyle name="Separador de milhares 3 3 2 2" xfId="206"/>
    <cellStyle name="Separador de milhares 3 3 3" xfId="189"/>
    <cellStyle name="Separador de milhares 3 4" xfId="97"/>
    <cellStyle name="Separador de milhares 3 4 2" xfId="201"/>
    <cellStyle name="Separador de milhares 3 5" xfId="183"/>
    <cellStyle name="Separador de milhares 4" xfId="77"/>
    <cellStyle name="Separador de milhares 4 2" xfId="106"/>
    <cellStyle name="Separador de milhares 4 2 2" xfId="207"/>
    <cellStyle name="Separador de milhares 4 3" xfId="190"/>
    <cellStyle name="Separador de milhares 5" xfId="78"/>
    <cellStyle name="Separador de milhares 5 2" xfId="107"/>
    <cellStyle name="Separador de milhares 5 2 2" xfId="208"/>
    <cellStyle name="Separador de milhares 5 3" xfId="191"/>
    <cellStyle name="Texto de Aviso 2" xfId="151"/>
    <cellStyle name="Texto Explicativo 2" xfId="152"/>
    <cellStyle name="Título 1 1" xfId="79"/>
    <cellStyle name="Título 1 1 1" xfId="80"/>
    <cellStyle name="Título 2 2" xfId="153"/>
    <cellStyle name="Título 3 2" xfId="154"/>
    <cellStyle name="Título 4 2" xfId="155"/>
    <cellStyle name="Título 5" xfId="81"/>
    <cellStyle name="Total 2" xfId="156"/>
    <cellStyle name="Vírgula" xfId="1" builtinId="3"/>
    <cellStyle name="Vírgula 10" xfId="94"/>
    <cellStyle name="Vírgula 10 2" xfId="199"/>
    <cellStyle name="Vírgula 11" xfId="174"/>
    <cellStyle name="Vírgula 2" xfId="7"/>
    <cellStyle name="Vírgula 2 2" xfId="10"/>
    <cellStyle name="Vírgula 2 2 2" xfId="102"/>
    <cellStyle name="Vírgula 2 2 2 2" xfId="116"/>
    <cellStyle name="Vírgula 2 2 2 2 2" xfId="217"/>
    <cellStyle name="Vírgula 2 2 3" xfId="62"/>
    <cellStyle name="Vírgula 2 2 3 2" xfId="187"/>
    <cellStyle name="Vírgula 2 2 4" xfId="163"/>
    <cellStyle name="Vírgula 2 2 4 2" xfId="223"/>
    <cellStyle name="Vírgula 2 2 5" xfId="159"/>
    <cellStyle name="Vírgula 2 2 5 2" xfId="220"/>
    <cellStyle name="Vírgula 2 2 6" xfId="178"/>
    <cellStyle name="Vírgula 2 3" xfId="108"/>
    <cellStyle name="Vírgula 2 3 2" xfId="209"/>
    <cellStyle name="Vírgula 2 4" xfId="82"/>
    <cellStyle name="Vírgula 2 4 2" xfId="192"/>
    <cellStyle name="Vírgula 2 5" xfId="161"/>
    <cellStyle name="Vírgula 2 5 2" xfId="221"/>
    <cellStyle name="Vírgula 2 6" xfId="157"/>
    <cellStyle name="Vírgula 2 6 2" xfId="218"/>
    <cellStyle name="Vírgula 2 7" xfId="176"/>
    <cellStyle name="Vírgula 3" xfId="23"/>
    <cellStyle name="Vírgula 3 2" xfId="109"/>
    <cellStyle name="Vírgula 3 2 2" xfId="210"/>
    <cellStyle name="Vírgula 3 3" xfId="83"/>
    <cellStyle name="Vírgula 3 3 2" xfId="193"/>
    <cellStyle name="Vírgula 3 4" xfId="179"/>
    <cellStyle name="Vírgula 4" xfId="28"/>
    <cellStyle name="Vírgula 4 2" xfId="110"/>
    <cellStyle name="Vírgula 4 2 2" xfId="211"/>
    <cellStyle name="Vírgula 4 3" xfId="84"/>
    <cellStyle name="Vírgula 4 3 2" xfId="194"/>
    <cellStyle name="Vírgula 4 4" xfId="181"/>
    <cellStyle name="Vírgula 5" xfId="31"/>
    <cellStyle name="Vírgula 5 2" xfId="111"/>
    <cellStyle name="Vírgula 5 2 2" xfId="212"/>
    <cellStyle name="Vírgula 5 3" xfId="85"/>
    <cellStyle name="Vírgula 5 3 2" xfId="195"/>
    <cellStyle name="Vírgula 6" xfId="86"/>
    <cellStyle name="Vírgula 6 2" xfId="112"/>
    <cellStyle name="Vírgula 6 2 2" xfId="213"/>
    <cellStyle name="Vírgula 6 3" xfId="196"/>
    <cellStyle name="Vírgula 7" xfId="55"/>
    <cellStyle name="Vírgula 7 2" xfId="100"/>
    <cellStyle name="Vírgula 7 2 2" xfId="203"/>
    <cellStyle name="Vírgula 7 3" xfId="185"/>
    <cellStyle name="Vírgula 8" xfId="96"/>
    <cellStyle name="Vírgula 8 2" xfId="200"/>
    <cellStyle name="Vírgula 9" xfId="47"/>
    <cellStyle name="Vírgula 9 2" xfId="182"/>
  </cellStyles>
  <dxfs count="43">
    <dxf>
      <fill>
        <patternFill>
          <bgColor rgb="FFFFC000"/>
        </patternFill>
      </fill>
    </dxf>
    <dxf>
      <numFmt numFmtId="194" formatCode="#,##0.00\ &quot;m²&quot;"/>
    </dxf>
    <dxf>
      <numFmt numFmtId="194" formatCode="#,##0.00\ &quot;m²&quot;"/>
    </dxf>
    <dxf>
      <numFmt numFmtId="194" formatCode="#,##0.00\ &quot;m²&quot;"/>
    </dxf>
    <dxf>
      <numFmt numFmtId="194" formatCode="#,##0.00\ &quot;m²&quot;"/>
    </dxf>
    <dxf>
      <numFmt numFmtId="194" formatCode="#,##0.00\ &quot;m²&quot;"/>
    </dxf>
    <dxf>
      <numFmt numFmtId="194" formatCode="#,##0.00\ &quot;m²&quot;"/>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numFmt numFmtId="14" formatCode="0.00%"/>
      <border diagonalUp="0" diagonalDown="0" outline="0">
        <right style="thin">
          <color theme="1"/>
        </right>
      </border>
    </dxf>
    <dxf>
      <numFmt numFmtId="34" formatCode="_-&quot;R$&quot;\ * #,##0.00_-;\-&quot;R$&quot;\ * #,##0.00_-;_-&quot;R$&quot;\ * &quot;-&quot;??_-;_-@_-"/>
      <border diagonalUp="0" diagonalDown="0" outline="0">
        <left style="thin">
          <color theme="1"/>
        </left>
        <right/>
        <top/>
        <bottom/>
      </border>
    </dxf>
    <dxf>
      <border diagonalUp="0" diagonalDown="0">
        <left style="thin">
          <color theme="1"/>
        </left>
        <right/>
        <top/>
        <bottom/>
        <vertical/>
        <horizontal/>
      </border>
    </dxf>
    <dxf>
      <border diagonalUp="0" diagonalDown="0">
        <left style="thin">
          <color theme="1"/>
        </left>
        <right/>
        <top/>
        <bottom/>
        <vertical/>
        <horizontal/>
      </border>
    </dxf>
    <dxf>
      <border>
        <bottom style="medium">
          <color theme="6"/>
        </bottom>
      </border>
    </dxf>
    <dxf>
      <font>
        <b/>
        <strike val="0"/>
        <outline val="0"/>
        <shadow val="0"/>
        <u val="none"/>
        <vertAlign val="baseline"/>
        <sz val="11"/>
        <color theme="0"/>
        <name val="Calibri"/>
        <scheme val="minor"/>
      </font>
      <fill>
        <patternFill patternType="solid">
          <fgColor indexed="64"/>
          <bgColor theme="8"/>
        </patternFill>
      </fill>
      <alignment horizontal="general" vertical="center" textRotation="0" wrapText="0" indent="0" justifyLastLine="0" shrinkToFit="0" readingOrder="0"/>
      <border diagonalUp="0" diagonalDown="0" outline="0">
        <left/>
        <right/>
        <top/>
        <bottom/>
      </border>
    </dxf>
    <dxf>
      <border diagonalUp="0" diagonalDown="0">
        <left style="thin">
          <color theme="1"/>
        </left>
        <right/>
        <top style="thin">
          <color theme="1"/>
        </top>
        <bottom style="thin">
          <color theme="1"/>
        </bottom>
        <vertical/>
        <horizontal/>
      </border>
    </dxf>
    <dxf>
      <border diagonalUp="0" diagonalDown="0">
        <left style="thin">
          <color theme="1"/>
        </left>
        <right/>
        <top style="thin">
          <color theme="1"/>
        </top>
        <bottom style="thin">
          <color theme="1"/>
        </bottom>
        <vertical style="thin">
          <color theme="1"/>
        </vertical>
        <horizontal style="thin">
          <color theme="1"/>
        </horizontal>
      </border>
    </dxf>
    <dxf>
      <border diagonalUp="0" diagonalDown="0">
        <left style="thin">
          <color theme="1"/>
        </left>
        <right style="thin">
          <color theme="1"/>
        </right>
        <top style="thin">
          <color theme="1"/>
        </top>
        <bottom style="thin">
          <color theme="1"/>
        </bottom>
        <vertical style="thin">
          <color theme="1"/>
        </vertical>
        <horizontal style="thin">
          <color theme="1"/>
        </horizontal>
      </border>
    </dxf>
    <dxf>
      <border diagonalUp="0" diagonalDown="0">
        <left/>
        <right style="thin">
          <color theme="1"/>
        </right>
        <top style="thin">
          <color theme="1"/>
        </top>
        <bottom style="thin">
          <color theme="1"/>
        </bottom>
        <vertical style="thin">
          <color theme="1"/>
        </vertical>
        <horizontal style="thin">
          <color theme="1"/>
        </horizontal>
      </border>
    </dxf>
    <dxf>
      <border>
        <top style="thin">
          <color theme="1"/>
        </top>
      </border>
    </dxf>
    <dxf>
      <border diagonalUp="0" diagonalDown="0">
        <left style="thin">
          <color theme="1"/>
        </left>
        <right style="thin">
          <color theme="1"/>
        </right>
        <top style="thin">
          <color theme="1"/>
        </top>
        <bottom style="thin">
          <color theme="1"/>
        </bottom>
      </border>
    </dxf>
    <dxf>
      <border>
        <bottom style="thin">
          <color theme="1"/>
        </bottom>
      </border>
    </dxf>
    <dxf>
      <font>
        <b/>
        <strike val="0"/>
        <outline val="0"/>
        <shadow val="0"/>
        <u val="none"/>
        <vertAlign val="baseline"/>
        <sz val="11"/>
        <color theme="0"/>
        <name val="Calibri"/>
        <scheme val="minor"/>
      </font>
      <fill>
        <patternFill patternType="solid">
          <fgColor indexed="64"/>
          <bgColor theme="8"/>
        </patternFill>
      </fill>
      <alignment horizontal="general" vertical="center" textRotation="0" wrapText="0" indent="0" justifyLastLine="0" shrinkToFit="0" readingOrder="0"/>
      <border diagonalUp="0" diagonalDown="0" outline="0">
        <left style="thin">
          <color theme="1"/>
        </left>
        <right style="thin">
          <color theme="1"/>
        </right>
        <top/>
        <bottom/>
      </border>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1" defaultTableStyle="TableStyleMedium2" defaultPivotStyle="PivotStyleLight16">
    <tableStyle name="Invisible" pivot="0" table="0" count="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firstButton="1" fmlaLink="$H$5"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checked="Checked" lockText="1" noThreeD="1"/>
</file>

<file path=xl/ctrlProps/ctrlProp5.xml><?xml version="1.0" encoding="utf-8"?>
<formControlPr xmlns="http://schemas.microsoft.com/office/spreadsheetml/2009/9/main" objectType="Radio"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firstButton="1" fmlaLink="$H$5"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checked="Checked" lockText="1" noThreeD="1"/>
</file>

<file path=xl/ctrlProps/ctrlProp10.xml><?xml version="1.0" encoding="utf-8"?>
<formControlPr xmlns="http://schemas.microsoft.com/office/spreadsheetml/2009/9/main" objectType="Radio"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xmlns="" id="{00000000-0008-0000-0000-000002000000}"/>
            </a:ext>
          </a:extLst>
        </xdr:cNvPr>
        <xdr:cNvSpPr/>
      </xdr:nvSpPr>
      <xdr:spPr>
        <a:xfrm>
          <a:off x="390525" y="142875"/>
          <a:ext cx="800100" cy="7715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70785</xdr:colOff>
      <xdr:row>1</xdr:row>
      <xdr:rowOff>103093</xdr:rowOff>
    </xdr:from>
    <xdr:to>
      <xdr:col>2</xdr:col>
      <xdr:colOff>643859</xdr:colOff>
      <xdr:row>1</xdr:row>
      <xdr:rowOff>638174</xdr:rowOff>
    </xdr:to>
    <xdr:pic>
      <xdr:nvPicPr>
        <xdr:cNvPr id="3" name="Imagem 2">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1"/>
        <a:stretch>
          <a:fillRect/>
        </a:stretch>
      </xdr:blipFill>
      <xdr:spPr>
        <a:xfrm>
          <a:off x="504702" y="251260"/>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328513</xdr:colOff>
          <xdr:row>3</xdr:row>
          <xdr:rowOff>768</xdr:rowOff>
        </xdr:from>
        <xdr:to>
          <xdr:col>6</xdr:col>
          <xdr:colOff>1097635</xdr:colOff>
          <xdr:row>10</xdr:row>
          <xdr:rowOff>117293</xdr:rowOff>
        </xdr:to>
        <xdr:grpSp>
          <xdr:nvGrpSpPr>
            <xdr:cNvPr id="4" name="Grupo 3">
              <a:extLst>
                <a:ext uri="{FF2B5EF4-FFF2-40B4-BE49-F238E27FC236}">
                  <a16:creationId xmlns:a16="http://schemas.microsoft.com/office/drawing/2014/main" xmlns="" id="{00000000-0008-0000-0000-000004000000}"/>
                </a:ext>
              </a:extLst>
            </xdr:cNvPr>
            <xdr:cNvGrpSpPr/>
          </xdr:nvGrpSpPr>
          <xdr:grpSpPr>
            <a:xfrm>
              <a:off x="6853138" y="1105668"/>
              <a:ext cx="1912122" cy="1459550"/>
              <a:chOff x="5896083" y="1152521"/>
              <a:chExt cx="2066919" cy="1476372"/>
            </a:xfrm>
          </xdr:grpSpPr>
          <xdr:grpSp>
            <xdr:nvGrpSpPr>
              <xdr:cNvPr id="5" name="Grupo 4">
                <a:extLst>
                  <a:ext uri="{FF2B5EF4-FFF2-40B4-BE49-F238E27FC236}">
                    <a16:creationId xmlns:a16="http://schemas.microsoft.com/office/drawing/2014/main" xmlns="" id="{00000000-0008-0000-0000-000005000000}"/>
                  </a:ext>
                </a:extLst>
              </xdr:cNvPr>
              <xdr:cNvGrpSpPr>
                <a:grpSpLocks/>
              </xdr:cNvGrpSpPr>
            </xdr:nvGrpSpPr>
            <xdr:grpSpPr>
              <a:xfrm>
                <a:off x="5896083" y="1152521"/>
                <a:ext cx="2066919" cy="1476372"/>
                <a:chOff x="9553681" y="1638296"/>
                <a:chExt cx="2285993" cy="1285872"/>
              </a:xfrm>
            </xdr:grpSpPr>
            <xdr:sp macro="" textlink="">
              <xdr:nvSpPr>
                <xdr:cNvPr id="30721" name="Group Box 1" hidden="1">
                  <a:extLst>
                    <a:ext uri="{63B3BB69-23CF-44E3-9099-C40C66FF867C}">
                      <a14:compatExt spid="_x0000_s30721"/>
                    </a:ext>
                    <a:ext uri="{FF2B5EF4-FFF2-40B4-BE49-F238E27FC236}">
                      <a16:creationId xmlns:a16="http://schemas.microsoft.com/office/drawing/2014/main" xmlns="" id="{00000000-0008-0000-0000-000001780000}"/>
                    </a:ext>
                  </a:extLst>
                </xdr:cNvPr>
                <xdr:cNvSpPr/>
              </xdr:nvSpPr>
              <xdr:spPr bwMode="auto">
                <a:xfrm>
                  <a:off x="9553681" y="1638296"/>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30722" name="Option Button 2" descr="Formação de Preços" hidden="1">
                  <a:extLst>
                    <a:ext uri="{63B3BB69-23CF-44E3-9099-C40C66FF867C}">
                      <a14:compatExt spid="_x0000_s30722"/>
                    </a:ext>
                    <a:ext uri="{FF2B5EF4-FFF2-40B4-BE49-F238E27FC236}">
                      <a16:creationId xmlns:a16="http://schemas.microsoft.com/office/drawing/2014/main" xmlns="" id="{00000000-0008-0000-0000-000002780000}"/>
                    </a:ext>
                  </a:extLst>
                </xdr:cNvPr>
                <xdr:cNvSpPr/>
              </xdr:nvSpPr>
              <xdr:spPr bwMode="auto">
                <a:xfrm>
                  <a:off x="9735555" y="1813437"/>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30723" name="Option Button 3" hidden="1">
                  <a:extLst>
                    <a:ext uri="{63B3BB69-23CF-44E3-9099-C40C66FF867C}">
                      <a14:compatExt spid="_x0000_s30723"/>
                    </a:ext>
                    <a:ext uri="{FF2B5EF4-FFF2-40B4-BE49-F238E27FC236}">
                      <a16:creationId xmlns:a16="http://schemas.microsoft.com/office/drawing/2014/main" xmlns="" id="{00000000-0008-0000-0000-000003780000}"/>
                    </a:ext>
                  </a:extLst>
                </xdr:cNvPr>
                <xdr:cNvSpPr/>
              </xdr:nvSpPr>
              <xdr:spPr bwMode="auto">
                <a:xfrm>
                  <a:off x="9735555" y="2084132"/>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30724" name="Option Button 4" hidden="1">
                  <a:extLst>
                    <a:ext uri="{63B3BB69-23CF-44E3-9099-C40C66FF867C}">
                      <a14:compatExt spid="_x0000_s30724"/>
                    </a:ext>
                    <a:ext uri="{FF2B5EF4-FFF2-40B4-BE49-F238E27FC236}">
                      <a16:creationId xmlns:a16="http://schemas.microsoft.com/office/drawing/2014/main" xmlns="" id="{00000000-0008-0000-0000-000004780000}"/>
                    </a:ext>
                  </a:extLst>
                </xdr:cNvPr>
                <xdr:cNvSpPr/>
              </xdr:nvSpPr>
              <xdr:spPr bwMode="auto">
                <a:xfrm>
                  <a:off x="9732977" y="2634431"/>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30725" name="Option Button 5" descr="Formação de Preços" hidden="1">
                <a:extLst>
                  <a:ext uri="{63B3BB69-23CF-44E3-9099-C40C66FF867C}">
                    <a14:compatExt spid="_x0000_s30725"/>
                  </a:ext>
                  <a:ext uri="{FF2B5EF4-FFF2-40B4-BE49-F238E27FC236}">
                    <a16:creationId xmlns:a16="http://schemas.microsoft.com/office/drawing/2014/main" xmlns="" id="{00000000-0008-0000-0000-00000578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xmlns="" id="{00000000-0008-0000-0400-000002000000}"/>
            </a:ext>
          </a:extLst>
        </xdr:cNvPr>
        <xdr:cNvSpPr/>
      </xdr:nvSpPr>
      <xdr:spPr>
        <a:xfrm>
          <a:off x="381000" y="161925"/>
          <a:ext cx="771525" cy="80010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102534</xdr:colOff>
      <xdr:row>1</xdr:row>
      <xdr:rowOff>103093</xdr:rowOff>
    </xdr:from>
    <xdr:to>
      <xdr:col>2</xdr:col>
      <xdr:colOff>675608</xdr:colOff>
      <xdr:row>1</xdr:row>
      <xdr:rowOff>638174</xdr:rowOff>
    </xdr:to>
    <xdr:pic>
      <xdr:nvPicPr>
        <xdr:cNvPr id="3" name="Imagem 2">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1"/>
        <a:stretch>
          <a:fillRect/>
        </a:stretch>
      </xdr:blipFill>
      <xdr:spPr>
        <a:xfrm>
          <a:off x="493059" y="293593"/>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195717</xdr:colOff>
          <xdr:row>2</xdr:row>
          <xdr:rowOff>236850</xdr:rowOff>
        </xdr:from>
        <xdr:to>
          <xdr:col>6</xdr:col>
          <xdr:colOff>971048</xdr:colOff>
          <xdr:row>10</xdr:row>
          <xdr:rowOff>134612</xdr:rowOff>
        </xdr:to>
        <xdr:grpSp>
          <xdr:nvGrpSpPr>
            <xdr:cNvPr id="5" name="Grupo 4">
              <a:extLst>
                <a:ext uri="{FF2B5EF4-FFF2-40B4-BE49-F238E27FC236}">
                  <a16:creationId xmlns:a16="http://schemas.microsoft.com/office/drawing/2014/main" xmlns="" id="{00000000-0008-0000-0400-000005000000}"/>
                </a:ext>
              </a:extLst>
            </xdr:cNvPr>
            <xdr:cNvGrpSpPr/>
          </xdr:nvGrpSpPr>
          <xdr:grpSpPr>
            <a:xfrm>
              <a:off x="6844167" y="1103625"/>
              <a:ext cx="1918331" cy="1478912"/>
              <a:chOff x="5896115" y="1152520"/>
              <a:chExt cx="2066918" cy="1476372"/>
            </a:xfrm>
          </xdr:grpSpPr>
          <xdr:grpSp>
            <xdr:nvGrpSpPr>
              <xdr:cNvPr id="4" name="Grupo 3">
                <a:extLst>
                  <a:ext uri="{FF2B5EF4-FFF2-40B4-BE49-F238E27FC236}">
                    <a16:creationId xmlns:a16="http://schemas.microsoft.com/office/drawing/2014/main" xmlns="" id="{00000000-0008-0000-0400-000004000000}"/>
                  </a:ext>
                </a:extLst>
              </xdr:cNvPr>
              <xdr:cNvGrpSpPr>
                <a:grpSpLocks/>
              </xdr:cNvGrpSpPr>
            </xdr:nvGrpSpPr>
            <xdr:grpSpPr>
              <a:xfrm>
                <a:off x="5896115" y="1152520"/>
                <a:ext cx="2066918" cy="1476372"/>
                <a:chOff x="9553723" y="1638295"/>
                <a:chExt cx="2285993" cy="1285872"/>
              </a:xfrm>
            </xdr:grpSpPr>
            <xdr:sp macro="" textlink="">
              <xdr:nvSpPr>
                <xdr:cNvPr id="19457" name="Group Box 1" hidden="1">
                  <a:extLst>
                    <a:ext uri="{63B3BB69-23CF-44E3-9099-C40C66FF867C}">
                      <a14:compatExt spid="_x0000_s19457"/>
                    </a:ext>
                    <a:ext uri="{FF2B5EF4-FFF2-40B4-BE49-F238E27FC236}">
                      <a16:creationId xmlns:a16="http://schemas.microsoft.com/office/drawing/2014/main" xmlns="" id="{00000000-0008-0000-0600-0000014C0000}"/>
                    </a:ext>
                  </a:extLst>
                </xdr:cNvPr>
                <xdr:cNvSpPr/>
              </xdr:nvSpPr>
              <xdr:spPr bwMode="auto">
                <a:xfrm>
                  <a:off x="9553723" y="1638295"/>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19458" name="Option Button 2" descr="Formação de Preços" hidden="1">
                  <a:extLst>
                    <a:ext uri="{63B3BB69-23CF-44E3-9099-C40C66FF867C}">
                      <a14:compatExt spid="_x0000_s19458"/>
                    </a:ext>
                    <a:ext uri="{FF2B5EF4-FFF2-40B4-BE49-F238E27FC236}">
                      <a16:creationId xmlns:a16="http://schemas.microsoft.com/office/drawing/2014/main" xmlns="" id="{00000000-0008-0000-0600-0000024C0000}"/>
                    </a:ext>
                  </a:extLst>
                </xdr:cNvPr>
                <xdr:cNvSpPr/>
              </xdr:nvSpPr>
              <xdr:spPr bwMode="auto">
                <a:xfrm>
                  <a:off x="9735556" y="1813437"/>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19459" name="Option Button 3" hidden="1">
                  <a:extLst>
                    <a:ext uri="{63B3BB69-23CF-44E3-9099-C40C66FF867C}">
                      <a14:compatExt spid="_x0000_s19459"/>
                    </a:ext>
                    <a:ext uri="{FF2B5EF4-FFF2-40B4-BE49-F238E27FC236}">
                      <a16:creationId xmlns:a16="http://schemas.microsoft.com/office/drawing/2014/main" xmlns="" id="{00000000-0008-0000-0600-0000034C0000}"/>
                    </a:ext>
                  </a:extLst>
                </xdr:cNvPr>
                <xdr:cNvSpPr/>
              </xdr:nvSpPr>
              <xdr:spPr bwMode="auto">
                <a:xfrm>
                  <a:off x="9735556" y="2084132"/>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19460" name="Option Button 4" hidden="1">
                  <a:extLst>
                    <a:ext uri="{63B3BB69-23CF-44E3-9099-C40C66FF867C}">
                      <a14:compatExt spid="_x0000_s19460"/>
                    </a:ext>
                    <a:ext uri="{FF2B5EF4-FFF2-40B4-BE49-F238E27FC236}">
                      <a16:creationId xmlns:a16="http://schemas.microsoft.com/office/drawing/2014/main" xmlns="" id="{00000000-0008-0000-0600-0000044C0000}"/>
                    </a:ext>
                  </a:extLst>
                </xdr:cNvPr>
                <xdr:cNvSpPr/>
              </xdr:nvSpPr>
              <xdr:spPr bwMode="auto">
                <a:xfrm>
                  <a:off x="9732977" y="2634431"/>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19466" name="Option Button 10" descr="Formação de Preços" hidden="1">
                <a:extLst>
                  <a:ext uri="{63B3BB69-23CF-44E3-9099-C40C66FF867C}">
                    <a14:compatExt spid="_x0000_s19466"/>
                  </a:ext>
                  <a:ext uri="{FF2B5EF4-FFF2-40B4-BE49-F238E27FC236}">
                    <a16:creationId xmlns:a16="http://schemas.microsoft.com/office/drawing/2014/main" xmlns="" id="{00000000-0008-0000-0600-00000A4C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211231</xdr:colOff>
      <xdr:row>1</xdr:row>
      <xdr:rowOff>182656</xdr:rowOff>
    </xdr:from>
    <xdr:to>
      <xdr:col>1</xdr:col>
      <xdr:colOff>784305</xdr:colOff>
      <xdr:row>3</xdr:row>
      <xdr:rowOff>94689</xdr:rowOff>
    </xdr:to>
    <xdr:pic>
      <xdr:nvPicPr>
        <xdr:cNvPr id="4" name="Imagem 3">
          <a:extLst>
            <a:ext uri="{FF2B5EF4-FFF2-40B4-BE49-F238E27FC236}">
              <a16:creationId xmlns:a16="http://schemas.microsoft.com/office/drawing/2014/main" xmlns="" id="{00000000-0008-0000-0500-000004000000}"/>
            </a:ext>
          </a:extLst>
        </xdr:cNvPr>
        <xdr:cNvPicPr>
          <a:picLocks noChangeAspect="1"/>
        </xdr:cNvPicPr>
      </xdr:nvPicPr>
      <xdr:blipFill>
        <a:blip xmlns:r="http://schemas.openxmlformats.org/officeDocument/2006/relationships" r:embed="rId1"/>
        <a:stretch>
          <a:fillRect/>
        </a:stretch>
      </xdr:blipFill>
      <xdr:spPr>
        <a:xfrm>
          <a:off x="316006" y="268381"/>
          <a:ext cx="573074" cy="5121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mpa-fs3\smf-celic$\Users\alexandre.machry\Desktop\MODELO_PLANILHA_SINDASSEI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mpa-fs3\smf-celic$\Users\alexandre.machry\Desktop\RP_de_Veiculos___6_Lugares%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mpa-fs3\SMAP-celic$\Users\ALEXAN~1.MAC\AppData\Local\Temp\MicrosoftEdgeDownloads\5cd71449-7405-4df9-9971-082a2c36d510\PLANILHA_FORMACAO_PREC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ntes"/>
      <sheetName val="Base Apoio - etapa 1"/>
      <sheetName val="PC 12x36 - DIURNO"/>
      <sheetName val="PC 12x36 - NOTURNO"/>
      <sheetName val="PC 44H-6D"/>
      <sheetName val="PC 44H-5D"/>
      <sheetName val="PC 36H"/>
      <sheetName val="PC 30H"/>
      <sheetName val="RESUMO"/>
      <sheetName val="Apoio - Regime de Trabalho"/>
      <sheetName val="Apoio - Posto"/>
    </sheetNames>
    <sheetDataSet>
      <sheetData sheetId="0" refreshError="1">
        <row r="1">
          <cell r="A1" t="str">
            <v>Sim</v>
          </cell>
          <cell r="C1">
            <v>0.1</v>
          </cell>
        </row>
        <row r="2">
          <cell r="A2" t="str">
            <v>Não</v>
          </cell>
          <cell r="C2">
            <v>0.2</v>
          </cell>
        </row>
        <row r="3">
          <cell r="C3">
            <v>0.4</v>
          </cell>
          <cell r="F3" t="str">
            <v>Unidade</v>
          </cell>
        </row>
        <row r="4">
          <cell r="F4" t="str">
            <v>Litro</v>
          </cell>
        </row>
        <row r="5">
          <cell r="F5" t="str">
            <v>Fardo</v>
          </cell>
        </row>
        <row r="6">
          <cell r="F6" t="str">
            <v>Galão</v>
          </cell>
        </row>
        <row r="7">
          <cell r="F7" t="str">
            <v>Lata</v>
          </cell>
        </row>
        <row r="8">
          <cell r="F8" t="str">
            <v>Pacote</v>
          </cell>
        </row>
        <row r="9">
          <cell r="F9" t="str">
            <v>Caixa</v>
          </cell>
        </row>
      </sheetData>
      <sheetData sheetId="1" refreshError="1">
        <row r="8">
          <cell r="G8" t="str">
            <v>SINDASSEIO</v>
          </cell>
        </row>
        <row r="20">
          <cell r="F20" t="str">
            <v>Lucro Presumido</v>
          </cell>
          <cell r="G20" t="str">
            <v>Lucro Real</v>
          </cell>
          <cell r="H20" t="str">
            <v>Simples Nacional</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ntes"/>
      <sheetName val="Base Apoio - etapa 1"/>
      <sheetName val="PC 220h-mes"/>
      <sheetName val="RESUMO"/>
    </sheetNames>
    <sheetDataSet>
      <sheetData sheetId="0">
        <row r="1">
          <cell r="A1" t="str">
            <v>Sim</v>
          </cell>
          <cell r="C1">
            <v>0.1</v>
          </cell>
        </row>
        <row r="2">
          <cell r="A2" t="str">
            <v>Não</v>
          </cell>
          <cell r="C2">
            <v>0.2</v>
          </cell>
        </row>
        <row r="3">
          <cell r="C3">
            <v>0.4</v>
          </cell>
        </row>
      </sheetData>
      <sheetData sheetId="1">
        <row r="20">
          <cell r="F20" t="str">
            <v>Lucro Presumido</v>
          </cell>
          <cell r="G20" t="str">
            <v>Lucro Real</v>
          </cell>
          <cell r="H20" t="str">
            <v>Simples Nacional</v>
          </cell>
        </row>
      </sheetData>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ntes"/>
      <sheetName val="Base Apoio - etapa 1"/>
      <sheetName val="Mód 5 - Insumos Unif, Mat e Eq"/>
      <sheetName val="PC 220h-mes"/>
      <sheetName val="RESUMO"/>
    </sheetNames>
    <sheetDataSet>
      <sheetData sheetId="0">
        <row r="1">
          <cell r="A1" t="str">
            <v>Sim</v>
          </cell>
          <cell r="C1">
            <v>0.1</v>
          </cell>
        </row>
        <row r="2">
          <cell r="A2" t="str">
            <v>Não</v>
          </cell>
          <cell r="C2">
            <v>0.2</v>
          </cell>
        </row>
        <row r="3">
          <cell r="C3">
            <v>0.4</v>
          </cell>
        </row>
      </sheetData>
      <sheetData sheetId="1"/>
      <sheetData sheetId="2"/>
      <sheetData sheetId="3"/>
      <sheetData sheetId="4"/>
    </sheetDataSet>
  </externalBook>
</externalLink>
</file>

<file path=xl/tables/table1.xml><?xml version="1.0" encoding="utf-8"?>
<table xmlns="http://schemas.openxmlformats.org/spreadsheetml/2006/main" id="1" name="Tabela1" displayName="Tabela1" ref="A1:D44" totalsRowShown="0" headerRowDxfId="32" headerRowBorderDxfId="31" tableBorderDxfId="30" totalsRowBorderDxfId="29">
  <autoFilter ref="A1:D44"/>
  <tableColumns count="4">
    <tableColumn id="3" name="Especificação do Objeto" dataDxfId="28"/>
    <tableColumn id="4" name="Unidade" dataDxfId="27"/>
    <tableColumn id="6" name="Valor Unit. (R$)" dataDxfId="26"/>
    <tableColumn id="2" name="Taxa de depreciação anual" dataDxfId="25" dataCellStyle="Porcentagem"/>
  </tableColumns>
  <tableStyleInfo showFirstColumn="0" showLastColumn="0" showRowStripes="1" showColumnStripes="0"/>
</table>
</file>

<file path=xl/tables/table2.xml><?xml version="1.0" encoding="utf-8"?>
<table xmlns="http://schemas.openxmlformats.org/spreadsheetml/2006/main" id="2" name="Tabela2" displayName="Tabela2" ref="A1:D22" totalsRowShown="0" headerRowDxfId="24" headerRowBorderDxfId="23">
  <autoFilter ref="A1:D22"/>
  <tableColumns count="4">
    <tableColumn id="1" name="Especificação do Objeto" dataDxfId="22"/>
    <tableColumn id="2" name="Unidade" dataDxfId="21"/>
    <tableColumn id="4" name="Valor Unit. (R$)" dataDxfId="20"/>
    <tableColumn id="5" name="Taxa de depreciação anual" dataDxfId="19"/>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3.mte.gov.br/sistemas/mediador/ConsultarInstColetivo" TargetMode="External"/><Relationship Id="rId13" Type="http://schemas.openxmlformats.org/officeDocument/2006/relationships/hyperlink" Target="http://www3.mte.gov.br/sistemas/mediador/ConsultarInstColetivo" TargetMode="External"/><Relationship Id="rId18" Type="http://schemas.openxmlformats.org/officeDocument/2006/relationships/printerSettings" Target="../printerSettings/printerSettings1.bin"/><Relationship Id="rId26" Type="http://schemas.openxmlformats.org/officeDocument/2006/relationships/comments" Target="../comments1.xml"/><Relationship Id="rId3" Type="http://schemas.openxmlformats.org/officeDocument/2006/relationships/hyperlink" Target="http://www3.mte.gov.br/sistemas/mediador/ConsultarInstColetivo" TargetMode="External"/><Relationship Id="rId21" Type="http://schemas.openxmlformats.org/officeDocument/2006/relationships/ctrlProp" Target="../ctrlProps/ctrlProp1.xml"/><Relationship Id="rId7" Type="http://schemas.openxmlformats.org/officeDocument/2006/relationships/hyperlink" Target="http://www3.mte.gov.br/sistemas/mediador/ConsultarInstColetivo" TargetMode="External"/><Relationship Id="rId12" Type="http://schemas.openxmlformats.org/officeDocument/2006/relationships/hyperlink" Target="http://www3.mte.gov.br/sistemas/mediador/ConsultarInstColetivo" TargetMode="External"/><Relationship Id="rId17" Type="http://schemas.openxmlformats.org/officeDocument/2006/relationships/hyperlink" Target="http://www3.mte.gov.br/sistemas/mediador/ConsultarInstColetivo" TargetMode="External"/><Relationship Id="rId25" Type="http://schemas.openxmlformats.org/officeDocument/2006/relationships/ctrlProp" Target="../ctrlProps/ctrlProp5.xml"/><Relationship Id="rId2" Type="http://schemas.openxmlformats.org/officeDocument/2006/relationships/hyperlink" Target="http://www3.mte.gov.br/sistemas/mediador/ConsultarInstColetivo" TargetMode="External"/><Relationship Id="rId16" Type="http://schemas.openxmlformats.org/officeDocument/2006/relationships/hyperlink" Target="http://www3.mte.gov.br/sistemas/mediador/ConsultarInstColetivo" TargetMode="External"/><Relationship Id="rId20" Type="http://schemas.openxmlformats.org/officeDocument/2006/relationships/vmlDrawing" Target="../drawings/vmlDrawing1.vml"/><Relationship Id="rId1" Type="http://schemas.openxmlformats.org/officeDocument/2006/relationships/hyperlink" Target="http://www3.mte.gov.br/sistemas/mediador/ConsultarInstColetivo" TargetMode="External"/><Relationship Id="rId6" Type="http://schemas.openxmlformats.org/officeDocument/2006/relationships/hyperlink" Target="http://www3.mte.gov.br/sistemas/mediador/ConsultarInstColetivo" TargetMode="External"/><Relationship Id="rId11" Type="http://schemas.openxmlformats.org/officeDocument/2006/relationships/hyperlink" Target="http://www3.mte.gov.br/sistemas/mediador/ConsultarInstColetivo" TargetMode="External"/><Relationship Id="rId24" Type="http://schemas.openxmlformats.org/officeDocument/2006/relationships/ctrlProp" Target="../ctrlProps/ctrlProp4.xml"/><Relationship Id="rId5" Type="http://schemas.openxmlformats.org/officeDocument/2006/relationships/hyperlink" Target="http://www3.mte.gov.br/sistemas/mediador/ConsultarInstColetivo" TargetMode="External"/><Relationship Id="rId15" Type="http://schemas.openxmlformats.org/officeDocument/2006/relationships/hyperlink" Target="http://www3.mte.gov.br/sistemas/mediador/ConsultarInstColetivo" TargetMode="External"/><Relationship Id="rId23" Type="http://schemas.openxmlformats.org/officeDocument/2006/relationships/ctrlProp" Target="../ctrlProps/ctrlProp3.xml"/><Relationship Id="rId10" Type="http://schemas.openxmlformats.org/officeDocument/2006/relationships/hyperlink" Target="http://www3.mte.gov.br/sistemas/mediador/ConsultarInstColetivo" TargetMode="External"/><Relationship Id="rId19" Type="http://schemas.openxmlformats.org/officeDocument/2006/relationships/drawing" Target="../drawings/drawing1.xml"/><Relationship Id="rId4" Type="http://schemas.openxmlformats.org/officeDocument/2006/relationships/hyperlink" Target="http://www3.mte.gov.br/sistemas/mediador/ConsultarInstColetivo" TargetMode="External"/><Relationship Id="rId9" Type="http://schemas.openxmlformats.org/officeDocument/2006/relationships/hyperlink" Target="http://www3.mte.gov.br/sistemas/mediador/ConsultarInstColetivo" TargetMode="External"/><Relationship Id="rId14" Type="http://schemas.openxmlformats.org/officeDocument/2006/relationships/hyperlink" Target="http://www3.mte.gov.br/sistemas/mediador/ConsultarInstColetivo" TargetMode="External"/><Relationship Id="rId22"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table" Target="../tables/table2.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drawing" Target="../drawings/drawing2.xml"/><Relationship Id="rId7" Type="http://schemas.openxmlformats.org/officeDocument/2006/relationships/ctrlProp" Target="../ctrlProps/ctrlProp8.xml"/><Relationship Id="rId2" Type="http://schemas.openxmlformats.org/officeDocument/2006/relationships/printerSettings" Target="../printerSettings/printerSettings5.bin"/><Relationship Id="rId1" Type="http://schemas.openxmlformats.org/officeDocument/2006/relationships/hyperlink" Target="http://www3.mte.gov.br/sistemas/mediador/ConsultarInstColetivo" TargetMode="External"/><Relationship Id="rId6" Type="http://schemas.openxmlformats.org/officeDocument/2006/relationships/ctrlProp" Target="../ctrlProps/ctrlProp7.xml"/><Relationship Id="rId5" Type="http://schemas.openxmlformats.org/officeDocument/2006/relationships/ctrlProp" Target="../ctrlProps/ctrlProp6.xml"/><Relationship Id="rId10" Type="http://schemas.openxmlformats.org/officeDocument/2006/relationships/comments" Target="../comments3.xml"/><Relationship Id="rId4" Type="http://schemas.openxmlformats.org/officeDocument/2006/relationships/vmlDrawing" Target="../drawings/vmlDrawing3.vml"/><Relationship Id="rId9"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openxmlformats.org/officeDocument/2006/relationships/hyperlink" Target="https://bi.mte.gov.br/bgcaged/" TargetMode="External"/><Relationship Id="rId2" Type="http://schemas.openxmlformats.org/officeDocument/2006/relationships/hyperlink" Target="https://bi.mte.gov.br/bgcaged/" TargetMode="External"/><Relationship Id="rId1" Type="http://schemas.openxmlformats.org/officeDocument/2006/relationships/hyperlink" Target="https://pesquisa.apps.tcu.gov.br/" TargetMode="External"/><Relationship Id="rId4"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pageSetUpPr fitToPage="1"/>
  </sheetPr>
  <dimension ref="A1:AB192"/>
  <sheetViews>
    <sheetView showGridLines="0" zoomScaleNormal="100" workbookViewId="0">
      <selection activeCell="Y7" sqref="Y7"/>
    </sheetView>
  </sheetViews>
  <sheetFormatPr defaultColWidth="9.140625" defaultRowHeight="15"/>
  <cols>
    <col min="1" max="1" width="2.140625" style="1" customWidth="1"/>
    <col min="2" max="2" width="4.28515625" style="83" customWidth="1"/>
    <col min="3" max="3" width="57.140625" style="9" customWidth="1"/>
    <col min="4" max="4" width="17.140625" style="10" customWidth="1"/>
    <col min="5" max="5" width="17.140625" style="9" customWidth="1"/>
    <col min="6" max="9" width="17.140625" style="1" customWidth="1"/>
    <col min="10" max="10" width="7.42578125" style="1" hidden="1" customWidth="1"/>
    <col min="11" max="11" width="7.85546875" style="1" hidden="1" customWidth="1"/>
    <col min="12" max="14" width="7.7109375" style="1" hidden="1" customWidth="1"/>
    <col min="15" max="15" width="7.5703125" style="1" hidden="1" customWidth="1"/>
    <col min="16" max="16" width="7.42578125" style="1" hidden="1" customWidth="1"/>
    <col min="17" max="17" width="8.28515625" style="1" hidden="1" customWidth="1"/>
    <col min="18" max="19" width="7.85546875" style="1" hidden="1" customWidth="1"/>
    <col min="20" max="20" width="7.5703125" style="1" hidden="1" customWidth="1"/>
    <col min="21" max="21" width="7.85546875" style="1" hidden="1" customWidth="1"/>
    <col min="22" max="22" width="7.5703125" style="1" hidden="1" customWidth="1"/>
    <col min="23" max="24" width="7.42578125" style="1" hidden="1" customWidth="1"/>
    <col min="25" max="27" width="9.140625" style="1"/>
    <col min="28" max="28" width="12.140625" style="1" bestFit="1" customWidth="1"/>
    <col min="29" max="16384" width="9.140625" style="1"/>
  </cols>
  <sheetData>
    <row r="1" spans="1:24" customFormat="1" ht="11.25" customHeight="1">
      <c r="A1" s="47"/>
      <c r="B1" s="82"/>
      <c r="C1" s="48"/>
      <c r="D1" s="48"/>
      <c r="E1" s="48"/>
      <c r="F1" s="48"/>
      <c r="G1" s="48"/>
      <c r="H1" s="48"/>
      <c r="I1" s="48"/>
      <c r="J1" s="48"/>
      <c r="K1" s="48"/>
      <c r="L1" s="48"/>
      <c r="M1" s="48"/>
      <c r="N1" s="48"/>
      <c r="O1" s="48"/>
      <c r="P1" s="48"/>
      <c r="Q1" s="48"/>
      <c r="R1" s="48"/>
      <c r="S1" s="48"/>
      <c r="T1" s="48"/>
      <c r="U1" s="48"/>
      <c r="V1" s="48"/>
      <c r="W1" s="48"/>
      <c r="X1" s="48"/>
    </row>
    <row r="2" spans="1:24" customFormat="1" ht="57" customHeight="1">
      <c r="A2" s="815" t="str">
        <f>CONCATENATE("PREFEITURA MUNICIPAL DE PORTO ALEGRE
",D5,"
FORMAÇÃO DE PREÇOS DE REFERÊNCIA - CESSÃO DE MÃO DE OBRA")</f>
        <v>PREFEITURA MUNICIPAL DE PORTO ALEGRE
SECRETARIA MUNICIPAL DA SAÚDE (SMS)
FORMAÇÃO DE PREÇOS DE REFERÊNCIA - CESSÃO DE MÃO DE OBRA</v>
      </c>
      <c r="B2" s="816"/>
      <c r="C2" s="816"/>
      <c r="D2" s="816"/>
      <c r="E2" s="816"/>
      <c r="F2" s="816"/>
      <c r="G2" s="816"/>
      <c r="H2" s="816"/>
      <c r="I2" s="817"/>
      <c r="J2" s="42"/>
      <c r="K2" s="42"/>
      <c r="L2" s="42"/>
      <c r="M2" s="42"/>
      <c r="N2" s="42"/>
      <c r="O2" s="42"/>
      <c r="P2" s="42"/>
      <c r="Q2" s="42"/>
      <c r="R2" s="42"/>
      <c r="S2" s="42"/>
      <c r="T2" s="42"/>
      <c r="U2" s="42"/>
      <c r="V2" s="42"/>
      <c r="W2" s="42"/>
      <c r="X2" s="42"/>
    </row>
    <row r="3" spans="1:24" customFormat="1" ht="18.75" customHeight="1">
      <c r="A3" s="22"/>
      <c r="B3" s="12"/>
      <c r="C3" s="23"/>
      <c r="D3" s="23"/>
      <c r="E3" s="23"/>
      <c r="F3" s="23"/>
      <c r="G3" s="23"/>
      <c r="H3" s="23"/>
      <c r="I3" s="23"/>
      <c r="J3" s="23"/>
      <c r="K3" s="23"/>
      <c r="L3" s="23"/>
      <c r="M3" s="23"/>
      <c r="N3" s="23"/>
      <c r="O3" s="23"/>
      <c r="P3" s="23"/>
      <c r="Q3" s="23"/>
      <c r="R3" s="23"/>
      <c r="S3" s="23"/>
      <c r="T3" s="23"/>
      <c r="U3" s="23"/>
      <c r="V3" s="23"/>
      <c r="W3" s="23"/>
      <c r="X3" s="23"/>
    </row>
    <row r="4" spans="1:24" customFormat="1" ht="15" customHeight="1">
      <c r="A4" s="1"/>
      <c r="B4" s="89"/>
      <c r="C4" s="90" t="s">
        <v>180</v>
      </c>
      <c r="D4" s="126"/>
      <c r="E4" s="118"/>
      <c r="G4" s="11"/>
      <c r="H4" s="11"/>
      <c r="I4" s="11"/>
      <c r="J4" s="11"/>
      <c r="K4" s="11"/>
      <c r="L4" s="11"/>
      <c r="M4" s="11"/>
      <c r="N4" s="11"/>
      <c r="O4" s="11"/>
      <c r="P4" s="11"/>
      <c r="Q4" s="11"/>
      <c r="R4" s="11"/>
      <c r="S4" s="11"/>
      <c r="T4" s="11"/>
      <c r="U4" s="11"/>
      <c r="V4" s="11"/>
      <c r="W4" s="11"/>
      <c r="X4" s="11"/>
    </row>
    <row r="5" spans="1:24" customFormat="1" ht="15.75" customHeight="1">
      <c r="A5" s="1"/>
      <c r="B5" s="116" t="s">
        <v>2</v>
      </c>
      <c r="C5" s="117" t="s">
        <v>247</v>
      </c>
      <c r="D5" s="819" t="s">
        <v>609</v>
      </c>
      <c r="E5" s="819"/>
      <c r="F5" s="1"/>
      <c r="G5" s="49"/>
      <c r="H5" s="50">
        <v>3</v>
      </c>
      <c r="I5" s="50">
        <v>4</v>
      </c>
      <c r="J5" s="50">
        <v>5</v>
      </c>
      <c r="K5" s="50">
        <v>6</v>
      </c>
      <c r="L5" s="50">
        <v>7</v>
      </c>
      <c r="M5" s="50">
        <v>8</v>
      </c>
      <c r="N5" s="50">
        <v>9</v>
      </c>
      <c r="O5" s="50">
        <v>10</v>
      </c>
      <c r="P5" s="50">
        <v>11</v>
      </c>
      <c r="Q5" s="50">
        <v>12</v>
      </c>
      <c r="R5" s="50">
        <v>13</v>
      </c>
      <c r="S5" s="50">
        <v>14</v>
      </c>
      <c r="T5" s="50">
        <v>15</v>
      </c>
      <c r="U5" s="50">
        <v>16</v>
      </c>
      <c r="V5" s="50">
        <v>17</v>
      </c>
      <c r="W5" s="50">
        <v>18</v>
      </c>
      <c r="X5" s="50">
        <v>19</v>
      </c>
    </row>
    <row r="6" spans="1:24" customFormat="1">
      <c r="A6" s="1"/>
      <c r="B6" s="115" t="s">
        <v>1</v>
      </c>
      <c r="C6" s="117" t="s">
        <v>183</v>
      </c>
      <c r="D6" s="820"/>
      <c r="E6" s="820"/>
      <c r="F6" s="1"/>
      <c r="G6" s="22"/>
      <c r="H6" s="69"/>
      <c r="I6" s="69"/>
      <c r="J6" s="69"/>
      <c r="K6" s="69"/>
      <c r="L6" s="69"/>
      <c r="M6" s="69"/>
      <c r="N6" s="69"/>
      <c r="O6" s="69"/>
      <c r="P6" s="69"/>
      <c r="Q6" s="69"/>
      <c r="R6" s="69"/>
      <c r="S6" s="69"/>
      <c r="T6" s="69"/>
      <c r="U6" s="69"/>
      <c r="V6" s="69"/>
      <c r="W6" s="69"/>
      <c r="X6" s="69"/>
    </row>
    <row r="7" spans="1:24" customFormat="1">
      <c r="A7" s="1"/>
      <c r="B7" s="116" t="s">
        <v>0</v>
      </c>
      <c r="C7" s="117" t="s">
        <v>182</v>
      </c>
      <c r="D7" s="820" t="s">
        <v>742</v>
      </c>
      <c r="E7" s="820"/>
      <c r="F7" s="1"/>
      <c r="G7" s="22"/>
      <c r="H7" s="69"/>
      <c r="I7" s="69"/>
      <c r="J7" s="69"/>
      <c r="K7" s="69"/>
      <c r="L7" s="69"/>
      <c r="M7" s="69"/>
      <c r="N7" s="69"/>
      <c r="O7" s="69"/>
      <c r="P7" s="69"/>
      <c r="Q7" s="69"/>
      <c r="R7" s="69"/>
      <c r="S7" s="69"/>
      <c r="T7" s="69"/>
      <c r="U7" s="69"/>
      <c r="V7" s="69"/>
      <c r="W7" s="69"/>
      <c r="X7" s="69"/>
    </row>
    <row r="8" spans="1:24" customFormat="1">
      <c r="A8" s="1"/>
      <c r="B8" s="115" t="s">
        <v>3</v>
      </c>
      <c r="C8" s="117" t="s">
        <v>181</v>
      </c>
      <c r="D8" s="819" t="s">
        <v>743</v>
      </c>
      <c r="E8" s="819"/>
      <c r="F8" s="1"/>
      <c r="G8" s="70"/>
      <c r="H8" s="69"/>
      <c r="I8" s="69"/>
      <c r="J8" s="69"/>
      <c r="K8" s="69"/>
      <c r="L8" s="69"/>
      <c r="M8" s="69"/>
      <c r="N8" s="69"/>
      <c r="O8" s="69"/>
      <c r="P8" s="69"/>
      <c r="Q8" s="69"/>
      <c r="R8" s="69"/>
      <c r="S8" s="69"/>
      <c r="T8" s="69"/>
      <c r="U8" s="69"/>
      <c r="V8" s="69"/>
      <c r="W8" s="69"/>
      <c r="X8" s="69"/>
    </row>
    <row r="9" spans="1:24" customFormat="1">
      <c r="B9" s="116" t="s">
        <v>7</v>
      </c>
      <c r="C9" s="117" t="s">
        <v>460</v>
      </c>
      <c r="D9" s="818" t="s">
        <v>744</v>
      </c>
      <c r="E9" s="818"/>
      <c r="F9" s="1"/>
    </row>
    <row r="10" spans="1:24" customFormat="1">
      <c r="A10" s="1"/>
      <c r="B10" s="115" t="s">
        <v>6</v>
      </c>
      <c r="C10" s="9" t="s">
        <v>461</v>
      </c>
      <c r="D10" s="796">
        <v>46210</v>
      </c>
      <c r="E10" s="796"/>
      <c r="F10" s="1"/>
      <c r="G10" s="1"/>
    </row>
    <row r="11" spans="1:24" customFormat="1">
      <c r="A11" s="1"/>
      <c r="B11" s="115" t="s">
        <v>5</v>
      </c>
      <c r="C11" s="117" t="s">
        <v>444</v>
      </c>
      <c r="D11" s="797"/>
      <c r="E11" s="797"/>
      <c r="F11" s="1"/>
      <c r="G11" s="1"/>
    </row>
    <row r="12" spans="1:24" customFormat="1">
      <c r="B12" s="116" t="s">
        <v>4</v>
      </c>
      <c r="C12" s="117" t="s">
        <v>400</v>
      </c>
      <c r="D12" s="808">
        <v>12</v>
      </c>
      <c r="E12" s="808"/>
      <c r="F12" s="1"/>
      <c r="G12" s="1"/>
    </row>
    <row r="13" spans="1:24">
      <c r="B13" s="115" t="s">
        <v>113</v>
      </c>
      <c r="C13" s="117" t="s">
        <v>71</v>
      </c>
      <c r="D13" s="797" t="s">
        <v>59</v>
      </c>
      <c r="E13" s="797"/>
    </row>
    <row r="14" spans="1:24">
      <c r="B14" s="116" t="s">
        <v>140</v>
      </c>
      <c r="C14" s="117" t="s">
        <v>267</v>
      </c>
      <c r="D14" s="809"/>
      <c r="E14" s="809"/>
    </row>
    <row r="15" spans="1:24">
      <c r="B15" s="116" t="s">
        <v>229</v>
      </c>
      <c r="C15" s="117" t="s">
        <v>316</v>
      </c>
      <c r="D15" s="810">
        <v>1621</v>
      </c>
      <c r="E15" s="811"/>
    </row>
    <row r="16" spans="1:24">
      <c r="A16" s="44"/>
      <c r="B16" s="301"/>
      <c r="C16" s="302"/>
      <c r="D16" s="303"/>
      <c r="E16" s="302"/>
      <c r="F16" s="125"/>
      <c r="G16" s="125"/>
      <c r="H16" s="125"/>
      <c r="I16" s="125"/>
      <c r="J16" s="125"/>
      <c r="K16" s="125"/>
      <c r="L16" s="125"/>
      <c r="M16" s="125"/>
      <c r="N16" s="125"/>
      <c r="O16" s="125"/>
      <c r="P16" s="125"/>
      <c r="Q16" s="125"/>
      <c r="R16" s="125"/>
      <c r="S16" s="125"/>
      <c r="T16" s="125"/>
      <c r="U16" s="125"/>
      <c r="V16" s="125"/>
      <c r="W16" s="125"/>
      <c r="X16" s="125"/>
    </row>
    <row r="17" spans="1:24" s="12" customFormat="1">
      <c r="A17" s="71"/>
      <c r="B17" s="89"/>
      <c r="C17" s="90" t="s">
        <v>576</v>
      </c>
      <c r="D17" s="126"/>
      <c r="E17" s="389" t="s">
        <v>402</v>
      </c>
      <c r="F17" s="389" t="s">
        <v>403</v>
      </c>
      <c r="G17" s="389" t="s">
        <v>404</v>
      </c>
      <c r="H17" s="389" t="s">
        <v>405</v>
      </c>
      <c r="I17" s="389" t="s">
        <v>406</v>
      </c>
      <c r="J17" s="389" t="s">
        <v>452</v>
      </c>
      <c r="K17" s="389" t="s">
        <v>453</v>
      </c>
      <c r="L17" s="389" t="s">
        <v>454</v>
      </c>
      <c r="M17" s="389" t="s">
        <v>455</v>
      </c>
      <c r="N17" s="389" t="s">
        <v>456</v>
      </c>
      <c r="O17" s="389" t="s">
        <v>566</v>
      </c>
      <c r="P17" s="389" t="s">
        <v>567</v>
      </c>
      <c r="Q17" s="389" t="s">
        <v>568</v>
      </c>
      <c r="R17" s="389" t="s">
        <v>569</v>
      </c>
      <c r="S17" s="389" t="s">
        <v>570</v>
      </c>
      <c r="T17" s="389" t="s">
        <v>571</v>
      </c>
      <c r="U17" s="389" t="s">
        <v>572</v>
      </c>
      <c r="V17" s="389" t="s">
        <v>574</v>
      </c>
      <c r="W17" s="697" t="s">
        <v>575</v>
      </c>
      <c r="X17" s="389" t="s">
        <v>573</v>
      </c>
    </row>
    <row r="18" spans="1:24" s="64" customFormat="1">
      <c r="A18" s="104"/>
      <c r="B18" s="114" t="s">
        <v>2</v>
      </c>
      <c r="C18" s="122" t="s">
        <v>270</v>
      </c>
      <c r="D18" s="119"/>
      <c r="E18" s="107" t="s">
        <v>287</v>
      </c>
      <c r="F18" s="107"/>
      <c r="G18" s="107"/>
      <c r="H18" s="107"/>
      <c r="I18" s="107"/>
      <c r="J18" s="107"/>
      <c r="K18" s="107"/>
      <c r="L18" s="107"/>
      <c r="M18" s="107"/>
      <c r="N18" s="107"/>
      <c r="O18" s="107"/>
      <c r="P18" s="107"/>
      <c r="Q18" s="107"/>
      <c r="R18" s="107"/>
      <c r="S18" s="107"/>
      <c r="T18" s="107"/>
      <c r="U18" s="107"/>
      <c r="V18" s="107"/>
      <c r="W18" s="107"/>
      <c r="X18" s="107"/>
    </row>
    <row r="19" spans="1:24" s="291" customFormat="1">
      <c r="A19" s="702"/>
      <c r="B19" s="703" t="s">
        <v>1</v>
      </c>
      <c r="C19" s="704" t="s">
        <v>581</v>
      </c>
      <c r="D19" s="705"/>
      <c r="E19" s="107"/>
      <c r="F19" s="107"/>
      <c r="G19" s="107"/>
      <c r="H19" s="107"/>
      <c r="I19" s="107"/>
      <c r="J19" s="107"/>
      <c r="K19" s="107"/>
      <c r="L19" s="107"/>
      <c r="M19" s="107"/>
      <c r="N19" s="107"/>
      <c r="O19" s="107"/>
      <c r="P19" s="107"/>
      <c r="Q19" s="107"/>
      <c r="R19" s="107"/>
      <c r="S19" s="107"/>
      <c r="T19" s="107"/>
      <c r="U19" s="107"/>
      <c r="V19" s="107"/>
      <c r="W19" s="107"/>
      <c r="X19" s="107"/>
    </row>
    <row r="20" spans="1:24">
      <c r="A20" s="105"/>
      <c r="B20" s="116" t="s">
        <v>0</v>
      </c>
      <c r="C20" s="123" t="s">
        <v>79</v>
      </c>
      <c r="D20" s="120"/>
      <c r="E20" s="108">
        <f>IFERROR(VLOOKUP(E$18,'Apoio - Posto'!$A:$J,2,FALSE),"")</f>
        <v>7823</v>
      </c>
      <c r="F20" s="108" t="str">
        <f>IFERROR(VLOOKUP(F$18,'Apoio - Posto'!$A:$J,2,FALSE),"")</f>
        <v/>
      </c>
      <c r="G20" s="108" t="str">
        <f>IFERROR(VLOOKUP(G$18,'Apoio - Posto'!$A:$J,2,FALSE),"")</f>
        <v/>
      </c>
      <c r="H20" s="108" t="str">
        <f>IFERROR(VLOOKUP(H$18,'Apoio - Posto'!$A:$J,2,FALSE),"")</f>
        <v/>
      </c>
      <c r="I20" s="108" t="str">
        <f>IFERROR(VLOOKUP(I$18,'Apoio - Posto'!$A:$J,2,FALSE),"")</f>
        <v/>
      </c>
      <c r="J20" s="108" t="str">
        <f>IFERROR(VLOOKUP(J$18,'Apoio - Posto'!$A:$J,2,FALSE),"")</f>
        <v/>
      </c>
      <c r="K20" s="108" t="str">
        <f>IFERROR(VLOOKUP(K$18,'Apoio - Posto'!$A:$J,2,FALSE),"")</f>
        <v/>
      </c>
      <c r="L20" s="108" t="str">
        <f>IFERROR(VLOOKUP(L$18,'Apoio - Posto'!$A:$J,2,FALSE),"")</f>
        <v/>
      </c>
      <c r="M20" s="108" t="str">
        <f>IFERROR(VLOOKUP(M$18,'Apoio - Posto'!$A:$J,2,FALSE),"")</f>
        <v/>
      </c>
      <c r="N20" s="108" t="str">
        <f>IFERROR(VLOOKUP(N$18,'Apoio - Posto'!$A:$J,2,FALSE),"")</f>
        <v/>
      </c>
      <c r="O20" s="108" t="str">
        <f>IFERROR(VLOOKUP(O$18,'Apoio - Posto'!$A:$J,2,FALSE),"")</f>
        <v/>
      </c>
      <c r="P20" s="108" t="str">
        <f>IFERROR(VLOOKUP(P$18,'Apoio - Posto'!$A:$J,2,FALSE),"")</f>
        <v/>
      </c>
      <c r="Q20" s="108" t="str">
        <f>IFERROR(VLOOKUP(Q$18,'Apoio - Posto'!$A:$J,2,FALSE),"")</f>
        <v/>
      </c>
      <c r="R20" s="108" t="str">
        <f>IFERROR(VLOOKUP(R$18,'Apoio - Posto'!$A:$J,2,FALSE),"")</f>
        <v/>
      </c>
      <c r="S20" s="108" t="str">
        <f>IFERROR(VLOOKUP(S$18,'Apoio - Posto'!$A:$J,2,FALSE),"")</f>
        <v/>
      </c>
      <c r="T20" s="108" t="str">
        <f>IFERROR(VLOOKUP(T$18,'Apoio - Posto'!$A:$J,2,FALSE),"")</f>
        <v/>
      </c>
      <c r="U20" s="108" t="str">
        <f>IFERROR(VLOOKUP(U$18,'Apoio - Posto'!$A:$J,2,FALSE),"")</f>
        <v/>
      </c>
      <c r="V20" s="108" t="str">
        <f>IFERROR(VLOOKUP(V$18,'Apoio - Posto'!$A:$J,2,FALSE),"")</f>
        <v/>
      </c>
      <c r="W20" s="108" t="str">
        <f>IFERROR(VLOOKUP(W$18,'Apoio - Posto'!$A:$J,2,FALSE),"")</f>
        <v/>
      </c>
      <c r="X20" s="108" t="str">
        <f>IFERROR(VLOOKUP(X$18,'Apoio - Posto'!$A:$J,2,FALSE),"")</f>
        <v/>
      </c>
    </row>
    <row r="21" spans="1:24">
      <c r="A21" s="106"/>
      <c r="B21" s="115" t="s">
        <v>3</v>
      </c>
      <c r="C21" s="124" t="s">
        <v>17</v>
      </c>
      <c r="D21" s="121"/>
      <c r="E21" s="109">
        <f>IFERROR(VLOOKUP(E$18,'Apoio - Posto'!$A:$AA,7,FALSE),"")</f>
        <v>2159.19</v>
      </c>
      <c r="F21" s="109" t="str">
        <f>IFERROR(VLOOKUP(F$18,'Apoio - Posto'!$A:$AA,7,FALSE),"")</f>
        <v/>
      </c>
      <c r="G21" s="109" t="str">
        <f>IFERROR(VLOOKUP(G$18,'Apoio - Posto'!$A:$AA,7,FALSE),"")</f>
        <v/>
      </c>
      <c r="H21" s="109" t="str">
        <f>IFERROR(VLOOKUP(H$18,'Apoio - Posto'!$A:$AA,7,FALSE),"")</f>
        <v/>
      </c>
      <c r="I21" s="109" t="str">
        <f>IFERROR(VLOOKUP(I$18,'Apoio - Posto'!$A:$AA,7,FALSE),"")</f>
        <v/>
      </c>
      <c r="J21" s="109" t="str">
        <f>IFERROR(VLOOKUP(J$18,'Apoio - Posto'!$A:$AA,7,FALSE),"")</f>
        <v/>
      </c>
      <c r="K21" s="109" t="str">
        <f>IFERROR(VLOOKUP(K$18,'Apoio - Posto'!$A:$AA,7,FALSE),"")</f>
        <v/>
      </c>
      <c r="L21" s="109" t="str">
        <f>IFERROR(VLOOKUP(L$18,'Apoio - Posto'!$A:$AA,7,FALSE),"")</f>
        <v/>
      </c>
      <c r="M21" s="109" t="str">
        <f>IFERROR(VLOOKUP(M$18,'Apoio - Posto'!$A:$AA,7,FALSE),"")</f>
        <v/>
      </c>
      <c r="N21" s="109" t="str">
        <f>IFERROR(VLOOKUP(N$18,'Apoio - Posto'!$A:$AA,7,FALSE),"")</f>
        <v/>
      </c>
      <c r="O21" s="109" t="str">
        <f>IFERROR(VLOOKUP(O$18,'Apoio - Posto'!$A:$AA,7,FALSE),"")</f>
        <v/>
      </c>
      <c r="P21" s="109" t="str">
        <f>IFERROR(VLOOKUP(P$18,'Apoio - Posto'!$A:$AA,7,FALSE),"")</f>
        <v/>
      </c>
      <c r="Q21" s="109" t="str">
        <f>IFERROR(VLOOKUP(Q$18,'Apoio - Posto'!$A:$AA,7,FALSE),"")</f>
        <v/>
      </c>
      <c r="R21" s="109" t="str">
        <f>IFERROR(VLOOKUP(R$18,'Apoio - Posto'!$A:$AA,7,FALSE),"")</f>
        <v/>
      </c>
      <c r="S21" s="109" t="str">
        <f>IFERROR(VLOOKUP(S$18,'Apoio - Posto'!$A:$AA,7,FALSE),"")</f>
        <v/>
      </c>
      <c r="T21" s="109" t="str">
        <f>IFERROR(VLOOKUP(T$18,'Apoio - Posto'!$A:$AA,7,FALSE),"")</f>
        <v/>
      </c>
      <c r="U21" s="109" t="str">
        <f>IFERROR(VLOOKUP(U$18,'Apoio - Posto'!$A:$AA,7,FALSE),"")</f>
        <v/>
      </c>
      <c r="V21" s="109" t="str">
        <f>IFERROR(VLOOKUP(V$18,'Apoio - Posto'!$A:$AA,7,FALSE),"")</f>
        <v/>
      </c>
      <c r="W21" s="109" t="str">
        <f>IFERROR(VLOOKUP(W$18,'Apoio - Posto'!$A:$AA,7,FALSE),"")</f>
        <v/>
      </c>
      <c r="X21" s="109" t="str">
        <f>IFERROR(VLOOKUP(X$18,'Apoio - Posto'!$A:$AA,7,FALSE),"")</f>
        <v/>
      </c>
    </row>
    <row r="22" spans="1:24">
      <c r="A22" s="105"/>
      <c r="B22" s="116" t="s">
        <v>7</v>
      </c>
      <c r="C22" s="123" t="s">
        <v>464</v>
      </c>
      <c r="D22" s="120"/>
      <c r="E22" s="110">
        <f>IFERROR(VLOOKUP(E$18,'Apoio - Posto'!$A:$AA,8,FALSE),"")</f>
        <v>220</v>
      </c>
      <c r="F22" s="110" t="str">
        <f>IFERROR(VLOOKUP(F$18,'Apoio - Posto'!$A:$AA,8,FALSE),"")</f>
        <v/>
      </c>
      <c r="G22" s="110" t="str">
        <f>IFERROR(VLOOKUP(G$18,'Apoio - Posto'!$A:$AA,8,FALSE),"")</f>
        <v/>
      </c>
      <c r="H22" s="110" t="str">
        <f>IFERROR(VLOOKUP(H$18,'Apoio - Posto'!$A:$AA,8,FALSE),"")</f>
        <v/>
      </c>
      <c r="I22" s="110" t="str">
        <f>IFERROR(VLOOKUP(I$18,'Apoio - Posto'!$A:$AA,8,FALSE),"")</f>
        <v/>
      </c>
      <c r="J22" s="110" t="str">
        <f>IFERROR(VLOOKUP(J$18,'Apoio - Posto'!$A:$AA,8,FALSE),"")</f>
        <v/>
      </c>
      <c r="K22" s="110" t="str">
        <f>IFERROR(VLOOKUP(K$18,'Apoio - Posto'!$A:$AA,8,FALSE),"")</f>
        <v/>
      </c>
      <c r="L22" s="110" t="str">
        <f>IFERROR(VLOOKUP(L$18,'Apoio - Posto'!$A:$AA,8,FALSE),"")</f>
        <v/>
      </c>
      <c r="M22" s="110" t="str">
        <f>IFERROR(VLOOKUP(M$18,'Apoio - Posto'!$A:$AA,8,FALSE),"")</f>
        <v/>
      </c>
      <c r="N22" s="110" t="str">
        <f>IFERROR(VLOOKUP(N$18,'Apoio - Posto'!$A:$AA,8,FALSE),"")</f>
        <v/>
      </c>
      <c r="O22" s="110" t="str">
        <f>IFERROR(VLOOKUP(O$18,'Apoio - Posto'!$A:$AA,8,FALSE),"")</f>
        <v/>
      </c>
      <c r="P22" s="110" t="str">
        <f>IFERROR(VLOOKUP(P$18,'Apoio - Posto'!$A:$AA,8,FALSE),"")</f>
        <v/>
      </c>
      <c r="Q22" s="110" t="str">
        <f>IFERROR(VLOOKUP(Q$18,'Apoio - Posto'!$A:$AA,8,FALSE),"")</f>
        <v/>
      </c>
      <c r="R22" s="110" t="str">
        <f>IFERROR(VLOOKUP(R$18,'Apoio - Posto'!$A:$AA,8,FALSE),"")</f>
        <v/>
      </c>
      <c r="S22" s="110" t="str">
        <f>IFERROR(VLOOKUP(S$18,'Apoio - Posto'!$A:$AA,8,FALSE),"")</f>
        <v/>
      </c>
      <c r="T22" s="110" t="str">
        <f>IFERROR(VLOOKUP(T$18,'Apoio - Posto'!$A:$AA,8,FALSE),"")</f>
        <v/>
      </c>
      <c r="U22" s="110" t="str">
        <f>IFERROR(VLOOKUP(U$18,'Apoio - Posto'!$A:$AA,8,FALSE),"")</f>
        <v/>
      </c>
      <c r="V22" s="110" t="str">
        <f>IFERROR(VLOOKUP(V$18,'Apoio - Posto'!$A:$AA,8,FALSE),"")</f>
        <v/>
      </c>
      <c r="W22" s="110" t="str">
        <f>IFERROR(VLOOKUP(W$18,'Apoio - Posto'!$A:$AA,8,FALSE),"")</f>
        <v/>
      </c>
      <c r="X22" s="110" t="str">
        <f>IFERROR(VLOOKUP(X$18,'Apoio - Posto'!$A:$AA,8,FALSE),"")</f>
        <v/>
      </c>
    </row>
    <row r="23" spans="1:24">
      <c r="A23" s="106"/>
      <c r="B23" s="115" t="s">
        <v>6</v>
      </c>
      <c r="C23" s="124" t="s">
        <v>18</v>
      </c>
      <c r="D23" s="121"/>
      <c r="E23" s="496" t="str">
        <f>IFERROR(VLOOKUP(E$18,'Apoio - Posto'!$A:$J,3,FALSE),"")</f>
        <v>SINDIELV</v>
      </c>
      <c r="F23" s="496" t="str">
        <f>IFERROR(VLOOKUP(F$18,'Apoio - Posto'!$A:$J,3,FALSE),"")</f>
        <v/>
      </c>
      <c r="G23" s="496" t="str">
        <f>IFERROR(VLOOKUP(G$18,'Apoio - Posto'!$A:$J,3,FALSE),"")</f>
        <v/>
      </c>
      <c r="H23" s="496" t="str">
        <f>IFERROR(VLOOKUP(H$18,'Apoio - Posto'!$A:$J,3,FALSE),"")</f>
        <v/>
      </c>
      <c r="I23" s="496" t="str">
        <f>IFERROR(VLOOKUP(I$18,'Apoio - Posto'!$A:$J,3,FALSE),"")</f>
        <v/>
      </c>
      <c r="J23" s="496" t="str">
        <f>IFERROR(VLOOKUP(J$18,'Apoio - Posto'!$A:$J,3,FALSE),"")</f>
        <v/>
      </c>
      <c r="K23" s="496" t="str">
        <f>IFERROR(VLOOKUP(K$18,'Apoio - Posto'!$A:$J,3,FALSE),"")</f>
        <v/>
      </c>
      <c r="L23" s="496" t="str">
        <f>IFERROR(VLOOKUP(L$18,'Apoio - Posto'!$A:$J,3,FALSE),"")</f>
        <v/>
      </c>
      <c r="M23" s="496" t="str">
        <f>IFERROR(VLOOKUP(M$18,'Apoio - Posto'!$A:$J,3,FALSE),"")</f>
        <v/>
      </c>
      <c r="N23" s="496" t="str">
        <f>IFERROR(VLOOKUP(N$18,'Apoio - Posto'!$A:$J,3,FALSE),"")</f>
        <v/>
      </c>
      <c r="O23" s="496" t="str">
        <f>IFERROR(VLOOKUP(O$18,'Apoio - Posto'!$A:$J,3,FALSE),"")</f>
        <v/>
      </c>
      <c r="P23" s="496" t="str">
        <f>IFERROR(VLOOKUP(P$18,'Apoio - Posto'!$A:$J,3,FALSE),"")</f>
        <v/>
      </c>
      <c r="Q23" s="496" t="str">
        <f>IFERROR(VLOOKUP(Q$18,'Apoio - Posto'!$A:$J,3,FALSE),"")</f>
        <v/>
      </c>
      <c r="R23" s="496" t="str">
        <f>IFERROR(VLOOKUP(R$18,'Apoio - Posto'!$A:$J,3,FALSE),"")</f>
        <v/>
      </c>
      <c r="S23" s="496" t="str">
        <f>IFERROR(VLOOKUP(S$18,'Apoio - Posto'!$A:$J,3,FALSE),"")</f>
        <v/>
      </c>
      <c r="T23" s="496" t="str">
        <f>IFERROR(VLOOKUP(T$18,'Apoio - Posto'!$A:$J,3,FALSE),"")</f>
        <v/>
      </c>
      <c r="U23" s="496" t="str">
        <f>IFERROR(VLOOKUP(U$18,'Apoio - Posto'!$A:$J,3,FALSE),"")</f>
        <v/>
      </c>
      <c r="V23" s="496" t="str">
        <f>IFERROR(VLOOKUP(V$18,'Apoio - Posto'!$A:$J,3,FALSE),"")</f>
        <v/>
      </c>
      <c r="W23" s="496" t="str">
        <f>IFERROR(VLOOKUP(W$18,'Apoio - Posto'!$A:$J,3,FALSE),"")</f>
        <v/>
      </c>
      <c r="X23" s="496" t="str">
        <f>IFERROR(VLOOKUP(X$18,'Apoio - Posto'!$A:$J,3,FALSE),"")</f>
        <v/>
      </c>
    </row>
    <row r="24" spans="1:24">
      <c r="A24" s="105"/>
      <c r="B24" s="116" t="s">
        <v>5</v>
      </c>
      <c r="C24" s="123" t="s">
        <v>77</v>
      </c>
      <c r="D24" s="120"/>
      <c r="E24" s="111">
        <f>IFERROR(VLOOKUP(E$18,'Apoio - Posto'!$A:$J,5,FALSE),"")</f>
        <v>45566</v>
      </c>
      <c r="F24" s="111" t="str">
        <f>IFERROR(VLOOKUP(F$18,'Apoio - Posto'!$A:$J,5,FALSE),"")</f>
        <v/>
      </c>
      <c r="G24" s="111" t="str">
        <f>IFERROR(VLOOKUP(G$18,'Apoio - Posto'!$A:$J,5,FALSE),"")</f>
        <v/>
      </c>
      <c r="H24" s="111" t="str">
        <f>IFERROR(VLOOKUP(H$18,'Apoio - Posto'!$A:$J,5,FALSE),"")</f>
        <v/>
      </c>
      <c r="I24" s="111" t="str">
        <f>IFERROR(VLOOKUP(I$18,'Apoio - Posto'!$A:$J,5,FALSE),"")</f>
        <v/>
      </c>
      <c r="J24" s="111" t="str">
        <f>IFERROR(VLOOKUP(J$18,'Apoio - Posto'!$A:$J,5,FALSE),"")</f>
        <v/>
      </c>
      <c r="K24" s="111" t="str">
        <f>IFERROR(VLOOKUP(K$18,'Apoio - Posto'!$A:$J,5,FALSE),"")</f>
        <v/>
      </c>
      <c r="L24" s="111" t="str">
        <f>IFERROR(VLOOKUP(L$18,'Apoio - Posto'!$A:$J,5,FALSE),"")</f>
        <v/>
      </c>
      <c r="M24" s="111" t="str">
        <f>IFERROR(VLOOKUP(M$18,'Apoio - Posto'!$A:$J,5,FALSE),"")</f>
        <v/>
      </c>
      <c r="N24" s="111" t="str">
        <f>IFERROR(VLOOKUP(N$18,'Apoio - Posto'!$A:$J,5,FALSE),"")</f>
        <v/>
      </c>
      <c r="O24" s="111" t="str">
        <f>IFERROR(VLOOKUP(O$18,'Apoio - Posto'!$A:$J,5,FALSE),"")</f>
        <v/>
      </c>
      <c r="P24" s="111" t="str">
        <f>IFERROR(VLOOKUP(P$18,'Apoio - Posto'!$A:$J,5,FALSE),"")</f>
        <v/>
      </c>
      <c r="Q24" s="111" t="str">
        <f>IFERROR(VLOOKUP(Q$18,'Apoio - Posto'!$A:$J,5,FALSE),"")</f>
        <v/>
      </c>
      <c r="R24" s="111" t="str">
        <f>IFERROR(VLOOKUP(R$18,'Apoio - Posto'!$A:$J,5,FALSE),"")</f>
        <v/>
      </c>
      <c r="S24" s="111" t="str">
        <f>IFERROR(VLOOKUP(S$18,'Apoio - Posto'!$A:$J,5,FALSE),"")</f>
        <v/>
      </c>
      <c r="T24" s="111" t="str">
        <f>IFERROR(VLOOKUP(T$18,'Apoio - Posto'!$A:$J,5,FALSE),"")</f>
        <v/>
      </c>
      <c r="U24" s="111" t="str">
        <f>IFERROR(VLOOKUP(U$18,'Apoio - Posto'!$A:$J,5,FALSE),"")</f>
        <v/>
      </c>
      <c r="V24" s="111" t="str">
        <f>IFERROR(VLOOKUP(V$18,'Apoio - Posto'!$A:$J,5,FALSE),"")</f>
        <v/>
      </c>
      <c r="W24" s="111" t="str">
        <f>IFERROR(VLOOKUP(W$18,'Apoio - Posto'!$A:$J,5,FALSE),"")</f>
        <v/>
      </c>
      <c r="X24" s="111" t="str">
        <f>IFERROR(VLOOKUP(X$18,'Apoio - Posto'!$A:$J,5,FALSE),"")</f>
        <v/>
      </c>
    </row>
    <row r="25" spans="1:24">
      <c r="A25" s="106"/>
      <c r="B25" s="116" t="s">
        <v>4</v>
      </c>
      <c r="C25" s="124" t="s">
        <v>78</v>
      </c>
      <c r="D25" s="121"/>
      <c r="E25" s="490" t="str">
        <f>IFERROR(VLOOKUP(E$18,'Apoio - Posto'!$A:$J,4,FALSE),"")</f>
        <v xml:space="preserve"> RS000482/2025</v>
      </c>
      <c r="F25" s="490" t="str">
        <f>IFERROR(VLOOKUP(F$18,'Apoio - Posto'!$A:$J,4,FALSE),"")</f>
        <v/>
      </c>
      <c r="G25" s="490" t="str">
        <f>IFERROR(VLOOKUP(G$18,'Apoio - Posto'!$A:$J,4,FALSE),"")</f>
        <v/>
      </c>
      <c r="H25" s="490" t="str">
        <f>IFERROR(VLOOKUP(H$18,'Apoio - Posto'!$A:$J,4,FALSE),"")</f>
        <v/>
      </c>
      <c r="I25" s="490" t="str">
        <f>IFERROR(VLOOKUP(I$18,'Apoio - Posto'!$A:$J,4,FALSE),"")</f>
        <v/>
      </c>
      <c r="J25" s="490" t="str">
        <f>IFERROR(VLOOKUP(J$18,'Apoio - Posto'!$A:$J,4,FALSE),"")</f>
        <v/>
      </c>
      <c r="K25" s="490" t="str">
        <f>IFERROR(VLOOKUP(K$18,'Apoio - Posto'!$A:$J,4,FALSE),"")</f>
        <v/>
      </c>
      <c r="L25" s="490" t="str">
        <f>IFERROR(VLOOKUP(L$18,'Apoio - Posto'!$A:$J,4,FALSE),"")</f>
        <v/>
      </c>
      <c r="M25" s="490" t="str">
        <f>IFERROR(VLOOKUP(M$18,'Apoio - Posto'!$A:$J,4,FALSE),"")</f>
        <v/>
      </c>
      <c r="N25" s="490" t="str">
        <f>IFERROR(VLOOKUP(N$18,'Apoio - Posto'!$A:$J,4,FALSE),"")</f>
        <v/>
      </c>
      <c r="O25" s="490" t="str">
        <f>IFERROR(VLOOKUP(O$18,'Apoio - Posto'!$A:$J,4,FALSE),"")</f>
        <v/>
      </c>
      <c r="P25" s="490" t="str">
        <f>IFERROR(VLOOKUP(P$18,'Apoio - Posto'!$A:$J,4,FALSE),"")</f>
        <v/>
      </c>
      <c r="Q25" s="490" t="str">
        <f>IFERROR(VLOOKUP(Q$18,'Apoio - Posto'!$A:$J,4,FALSE),"")</f>
        <v/>
      </c>
      <c r="R25" s="490" t="str">
        <f>IFERROR(VLOOKUP(R$18,'Apoio - Posto'!$A:$J,4,FALSE),"")</f>
        <v/>
      </c>
      <c r="S25" s="490" t="str">
        <f>IFERROR(VLOOKUP(S$18,'Apoio - Posto'!$A:$J,4,FALSE),"")</f>
        <v/>
      </c>
      <c r="T25" s="490" t="str">
        <f>IFERROR(VLOOKUP(T$18,'Apoio - Posto'!$A:$J,4,FALSE),"")</f>
        <v/>
      </c>
      <c r="U25" s="490" t="str">
        <f>IFERROR(VLOOKUP(U$18,'Apoio - Posto'!$A:$J,4,FALSE),"")</f>
        <v/>
      </c>
      <c r="V25" s="490" t="str">
        <f>IFERROR(VLOOKUP(V$18,'Apoio - Posto'!$A:$J,4,FALSE),"")</f>
        <v/>
      </c>
      <c r="W25" s="490" t="str">
        <f>IFERROR(VLOOKUP(W$18,'Apoio - Posto'!$A:$J,4,FALSE),"")</f>
        <v/>
      </c>
      <c r="X25" s="490" t="str">
        <f>IFERROR(VLOOKUP(X$18,'Apoio - Posto'!$A:$J,4,FALSE),"")</f>
        <v/>
      </c>
    </row>
    <row r="26" spans="1:24">
      <c r="A26" s="105"/>
      <c r="B26" s="116" t="s">
        <v>113</v>
      </c>
      <c r="C26" s="124" t="s">
        <v>465</v>
      </c>
      <c r="D26" s="121"/>
      <c r="E26" s="112" t="s">
        <v>478</v>
      </c>
      <c r="F26" s="112"/>
      <c r="G26" s="112"/>
      <c r="H26" s="112"/>
      <c r="I26" s="112"/>
      <c r="J26" s="112"/>
      <c r="K26" s="112"/>
      <c r="L26" s="112"/>
      <c r="M26" s="112"/>
      <c r="N26" s="112"/>
      <c r="O26" s="112"/>
      <c r="P26" s="112"/>
      <c r="Q26" s="112"/>
      <c r="R26" s="112"/>
      <c r="S26" s="112"/>
      <c r="T26" s="112"/>
      <c r="U26" s="112"/>
      <c r="V26" s="112"/>
      <c r="W26" s="112"/>
      <c r="X26" s="112"/>
    </row>
    <row r="27" spans="1:24">
      <c r="A27" s="106"/>
      <c r="B27" s="115" t="s">
        <v>140</v>
      </c>
      <c r="C27" s="123" t="s">
        <v>488</v>
      </c>
      <c r="D27" s="120"/>
      <c r="E27" s="108">
        <v>1</v>
      </c>
      <c r="F27" s="108"/>
      <c r="G27" s="108"/>
      <c r="H27" s="108"/>
      <c r="I27" s="108"/>
      <c r="J27" s="108"/>
      <c r="K27" s="108"/>
      <c r="L27" s="108"/>
      <c r="M27" s="108"/>
      <c r="N27" s="108"/>
      <c r="O27" s="108"/>
      <c r="P27" s="108"/>
      <c r="Q27" s="108"/>
      <c r="R27" s="108"/>
      <c r="S27" s="108"/>
      <c r="T27" s="108"/>
      <c r="U27" s="108"/>
      <c r="V27" s="108"/>
      <c r="W27" s="108"/>
      <c r="X27" s="108"/>
    </row>
    <row r="28" spans="1:24">
      <c r="A28" s="105"/>
      <c r="B28" s="115" t="s">
        <v>229</v>
      </c>
      <c r="C28" s="123" t="s">
        <v>459</v>
      </c>
      <c r="D28" s="120"/>
      <c r="E28" s="108">
        <f>IFERROR(VLOOKUP(E26,'Apoio - Regime de Trabalho'!$A:$I,2,FALSE),"")</f>
        <v>1</v>
      </c>
      <c r="F28" s="108" t="str">
        <f>IFERROR(VLOOKUP(F26,'Apoio - Regime de Trabalho'!$A:$I,2,FALSE),"")</f>
        <v/>
      </c>
      <c r="G28" s="108" t="str">
        <f>IFERROR(VLOOKUP(G26,'Apoio - Regime de Trabalho'!$A:$I,2,FALSE),"")</f>
        <v/>
      </c>
      <c r="H28" s="108" t="str">
        <f>IFERROR(VLOOKUP(H26,'Apoio - Regime de Trabalho'!$A:$I,2,FALSE),"")</f>
        <v/>
      </c>
      <c r="I28" s="108" t="str">
        <f>IFERROR(VLOOKUP(I26,'Apoio - Regime de Trabalho'!$A:$I,2,FALSE),"")</f>
        <v/>
      </c>
      <c r="J28" s="108" t="str">
        <f>IFERROR(VLOOKUP(J26,'Apoio - Regime de Trabalho'!$A:$I,2,FALSE),"")</f>
        <v/>
      </c>
      <c r="K28" s="108" t="str">
        <f>IFERROR(VLOOKUP(K26,'Apoio - Regime de Trabalho'!$A:$I,2,FALSE),"")</f>
        <v/>
      </c>
      <c r="L28" s="108" t="str">
        <f>IFERROR(VLOOKUP(L26,'Apoio - Regime de Trabalho'!$A:$I,2,FALSE),"")</f>
        <v/>
      </c>
      <c r="M28" s="108" t="str">
        <f>IFERROR(VLOOKUP(M26,'Apoio - Regime de Trabalho'!$A:$I,2,FALSE),"")</f>
        <v/>
      </c>
      <c r="N28" s="108" t="str">
        <f>IFERROR(VLOOKUP(N26,'Apoio - Regime de Trabalho'!$A:$I,2,FALSE),"")</f>
        <v/>
      </c>
      <c r="O28" s="108" t="str">
        <f>IFERROR(VLOOKUP(O26,'Apoio - Regime de Trabalho'!$A:$I,2,FALSE),"")</f>
        <v/>
      </c>
      <c r="P28" s="108" t="str">
        <f>IFERROR(VLOOKUP(P26,'Apoio - Regime de Trabalho'!$A:$I,2,FALSE),"")</f>
        <v/>
      </c>
      <c r="Q28" s="108" t="str">
        <f>IFERROR(VLOOKUP(Q26,'Apoio - Regime de Trabalho'!$A:$I,2,FALSE),"")</f>
        <v/>
      </c>
      <c r="R28" s="108" t="str">
        <f>IFERROR(VLOOKUP(R26,'Apoio - Regime de Trabalho'!$A:$I,2,FALSE),"")</f>
        <v/>
      </c>
      <c r="S28" s="108" t="str">
        <f>IFERROR(VLOOKUP(S26,'Apoio - Regime de Trabalho'!$A:$I,2,FALSE),"")</f>
        <v/>
      </c>
      <c r="T28" s="108" t="str">
        <f>IFERROR(VLOOKUP(T26,'Apoio - Regime de Trabalho'!$A:$I,2,FALSE),"")</f>
        <v/>
      </c>
      <c r="U28" s="108" t="str">
        <f>IFERROR(VLOOKUP(U26,'Apoio - Regime de Trabalho'!$A:$I,2,FALSE),"")</f>
        <v/>
      </c>
      <c r="V28" s="108" t="str">
        <f>IFERROR(VLOOKUP(V26,'Apoio - Regime de Trabalho'!$A:$I,2,FALSE),"")</f>
        <v/>
      </c>
      <c r="W28" s="108" t="str">
        <f>IFERROR(VLOOKUP(W26,'Apoio - Regime de Trabalho'!$A:$I,2,FALSE),"")</f>
        <v/>
      </c>
      <c r="X28" s="108" t="str">
        <f>IFERROR(VLOOKUP(X26,'Apoio - Regime de Trabalho'!$A:$I,2,FALSE),"")</f>
        <v/>
      </c>
    </row>
    <row r="29" spans="1:24">
      <c r="A29" s="105"/>
      <c r="B29" s="115" t="s">
        <v>271</v>
      </c>
      <c r="C29" s="123" t="s">
        <v>489</v>
      </c>
      <c r="D29" s="120"/>
      <c r="E29" s="108">
        <f t="shared" ref="E29:N29" si="0">IFERROR(IF(E18="","",E28*E27),"")</f>
        <v>1</v>
      </c>
      <c r="F29" s="108" t="str">
        <f t="shared" si="0"/>
        <v/>
      </c>
      <c r="G29" s="108" t="str">
        <f t="shared" si="0"/>
        <v/>
      </c>
      <c r="H29" s="108" t="str">
        <f t="shared" si="0"/>
        <v/>
      </c>
      <c r="I29" s="108" t="str">
        <f t="shared" si="0"/>
        <v/>
      </c>
      <c r="J29" s="108" t="str">
        <f t="shared" si="0"/>
        <v/>
      </c>
      <c r="K29" s="108" t="str">
        <f t="shared" si="0"/>
        <v/>
      </c>
      <c r="L29" s="108" t="str">
        <f t="shared" si="0"/>
        <v/>
      </c>
      <c r="M29" s="108" t="str">
        <f t="shared" si="0"/>
        <v/>
      </c>
      <c r="N29" s="108" t="str">
        <f t="shared" si="0"/>
        <v/>
      </c>
      <c r="O29" s="108" t="str">
        <f t="shared" ref="O29:X29" si="1">IFERROR(IF(O18="","",O28*O27),"")</f>
        <v/>
      </c>
      <c r="P29" s="108" t="str">
        <f t="shared" si="1"/>
        <v/>
      </c>
      <c r="Q29" s="108" t="str">
        <f t="shared" si="1"/>
        <v/>
      </c>
      <c r="R29" s="108" t="str">
        <f t="shared" si="1"/>
        <v/>
      </c>
      <c r="S29" s="108" t="str">
        <f t="shared" si="1"/>
        <v/>
      </c>
      <c r="T29" s="108" t="str">
        <f t="shared" si="1"/>
        <v/>
      </c>
      <c r="U29" s="108" t="str">
        <f t="shared" si="1"/>
        <v/>
      </c>
      <c r="V29" s="108" t="str">
        <f t="shared" si="1"/>
        <v/>
      </c>
      <c r="W29" s="108" t="str">
        <f t="shared" si="1"/>
        <v/>
      </c>
      <c r="X29" s="108" t="str">
        <f t="shared" si="1"/>
        <v/>
      </c>
    </row>
    <row r="30" spans="1:24">
      <c r="B30" s="84"/>
      <c r="C30" s="127"/>
      <c r="D30" s="128"/>
      <c r="E30" s="129"/>
      <c r="F30" s="129"/>
      <c r="G30" s="129"/>
      <c r="H30" s="129"/>
      <c r="I30" s="129"/>
      <c r="J30" s="129"/>
      <c r="K30" s="129"/>
      <c r="L30" s="129"/>
      <c r="M30" s="129"/>
      <c r="N30" s="129"/>
      <c r="O30" s="129"/>
      <c r="P30" s="129"/>
      <c r="Q30" s="129"/>
      <c r="R30" s="129"/>
      <c r="S30" s="129"/>
      <c r="T30" s="129"/>
      <c r="U30" s="129"/>
      <c r="V30" s="129"/>
      <c r="W30" s="129"/>
      <c r="X30" s="129"/>
    </row>
    <row r="31" spans="1:24" s="12" customFormat="1">
      <c r="A31" s="72"/>
      <c r="B31" s="89"/>
      <c r="C31" s="90" t="s">
        <v>178</v>
      </c>
      <c r="D31" s="91"/>
      <c r="E31" s="369"/>
      <c r="F31" s="369"/>
      <c r="G31" s="369"/>
      <c r="H31" s="369"/>
      <c r="I31" s="369"/>
      <c r="J31" s="369"/>
      <c r="K31" s="369"/>
      <c r="L31" s="369"/>
      <c r="M31" s="369"/>
      <c r="N31" s="369"/>
      <c r="O31" s="369"/>
      <c r="P31" s="369"/>
      <c r="Q31" s="369"/>
      <c r="R31" s="369"/>
      <c r="S31" s="369"/>
      <c r="T31" s="369"/>
      <c r="U31" s="369"/>
      <c r="V31" s="369"/>
      <c r="W31" s="369"/>
      <c r="X31" s="369"/>
    </row>
    <row r="32" spans="1:24">
      <c r="A32" s="86"/>
      <c r="B32" s="185" t="s">
        <v>2</v>
      </c>
      <c r="C32" s="178" t="s">
        <v>189</v>
      </c>
      <c r="D32" s="227"/>
      <c r="E32" s="99">
        <f>IFERROR(E21*VLOOKUP(E26,'Apoio - Regime de Trabalho'!$A:$I,8,FALSE)/(E22),"")</f>
        <v>2159.19</v>
      </c>
      <c r="F32" s="99" t="str">
        <f>IFERROR(F21*VLOOKUP(F26,'Apoio - Regime de Trabalho'!$A:$I,8,FALSE)/(F22),"")</f>
        <v/>
      </c>
      <c r="G32" s="99" t="str">
        <f>IFERROR(G21*VLOOKUP(G26,'Apoio - Regime de Trabalho'!$A:$I,8,FALSE)/(G22),"")</f>
        <v/>
      </c>
      <c r="H32" s="99" t="str">
        <f>IFERROR(H21*VLOOKUP(H26,'Apoio - Regime de Trabalho'!$A:$I,8,FALSE)/(H22),"")</f>
        <v/>
      </c>
      <c r="I32" s="99" t="str">
        <f>IFERROR(I21*VLOOKUP(I26,'Apoio - Regime de Trabalho'!$A:$I,8,FALSE)/(I22),"")</f>
        <v/>
      </c>
      <c r="J32" s="99" t="str">
        <f>IFERROR(J21*VLOOKUP(J26,'Apoio - Regime de Trabalho'!$A:$I,8,FALSE)/(J22),"")</f>
        <v/>
      </c>
      <c r="K32" s="99" t="str">
        <f>IFERROR(K21*VLOOKUP(K26,'Apoio - Regime de Trabalho'!$A:$I,8,FALSE)/(K22),"")</f>
        <v/>
      </c>
      <c r="L32" s="99" t="str">
        <f>IFERROR(L21*VLOOKUP(L26,'Apoio - Regime de Trabalho'!$A:$I,8,FALSE)/(L22),"")</f>
        <v/>
      </c>
      <c r="M32" s="99" t="str">
        <f>IFERROR(M21*VLOOKUP(M26,'Apoio - Regime de Trabalho'!$A:$I,8,FALSE)/(M22),"")</f>
        <v/>
      </c>
      <c r="N32" s="99" t="str">
        <f>IFERROR(N21*VLOOKUP(N26,'Apoio - Regime de Trabalho'!$A:$I,8,FALSE)/(N22),"")</f>
        <v/>
      </c>
      <c r="O32" s="99" t="str">
        <f>IFERROR(O21*VLOOKUP(O26,'Apoio - Regime de Trabalho'!$A:$I,8,FALSE)/(O22),"")</f>
        <v/>
      </c>
      <c r="P32" s="99" t="str">
        <f>IFERROR(P21*VLOOKUP(P26,'Apoio - Regime de Trabalho'!$A:$I,8,FALSE)/(P22),"")</f>
        <v/>
      </c>
      <c r="Q32" s="99" t="str">
        <f>IFERROR(Q21*VLOOKUP(Q26,'Apoio - Regime de Trabalho'!$A:$I,8,FALSE)/(Q22),"")</f>
        <v/>
      </c>
      <c r="R32" s="99" t="str">
        <f>IFERROR(R21*VLOOKUP(R26,'Apoio - Regime de Trabalho'!$A:$I,8,FALSE)/(R22),"")</f>
        <v/>
      </c>
      <c r="S32" s="99" t="str">
        <f>IFERROR(S21*VLOOKUP(S26,'Apoio - Regime de Trabalho'!$A:$I,8,FALSE)/(S22),"")</f>
        <v/>
      </c>
      <c r="T32" s="99" t="str">
        <f>IFERROR(T21*VLOOKUP(T26,'Apoio - Regime de Trabalho'!$A:$I,8,FALSE)/(T22),"")</f>
        <v/>
      </c>
      <c r="U32" s="99" t="str">
        <f>IFERROR(U21*VLOOKUP(U26,'Apoio - Regime de Trabalho'!$A:$I,8,FALSE)/(U22),"")</f>
        <v/>
      </c>
      <c r="V32" s="99" t="str">
        <f>IFERROR(V21*VLOOKUP(V26,'Apoio - Regime de Trabalho'!$A:$I,8,FALSE)/(V22),"")</f>
        <v/>
      </c>
      <c r="W32" s="99" t="str">
        <f>IFERROR(W21*VLOOKUP(W26,'Apoio - Regime de Trabalho'!$A:$I,8,FALSE)/(W22),"")</f>
        <v/>
      </c>
      <c r="X32" s="99" t="str">
        <f>IFERROR(X21*VLOOKUP(X26,'Apoio - Regime de Trabalho'!$A:$I,8,FALSE)/(X22),"")</f>
        <v/>
      </c>
    </row>
    <row r="33" spans="1:24">
      <c r="A33" s="86"/>
      <c r="B33" s="812" t="s">
        <v>1</v>
      </c>
      <c r="C33" s="226" t="s">
        <v>185</v>
      </c>
      <c r="D33" s="170"/>
      <c r="E33" s="244"/>
      <c r="F33" s="244"/>
      <c r="G33" s="244"/>
      <c r="H33" s="244"/>
      <c r="I33" s="244"/>
      <c r="J33" s="244"/>
      <c r="K33" s="244"/>
      <c r="L33" s="244"/>
      <c r="M33" s="244"/>
      <c r="N33" s="244"/>
      <c r="O33" s="244"/>
      <c r="P33" s="244"/>
      <c r="Q33" s="244"/>
      <c r="R33" s="244"/>
      <c r="S33" s="244"/>
      <c r="T33" s="244"/>
      <c r="U33" s="244"/>
      <c r="V33" s="244"/>
      <c r="W33" s="244"/>
      <c r="X33" s="244"/>
    </row>
    <row r="34" spans="1:24">
      <c r="A34" s="86"/>
      <c r="B34" s="813"/>
      <c r="C34" s="234" t="s">
        <v>105</v>
      </c>
      <c r="D34" s="142"/>
      <c r="E34" s="245">
        <f>IFERROR(VLOOKUP(E$18,'Apoio - Posto'!$A:$AA,15,FALSE),"")</f>
        <v>0</v>
      </c>
      <c r="F34" s="245" t="str">
        <f>IFERROR(VLOOKUP(F$18,'Apoio - Posto'!$A:$AA,15,FALSE),"")</f>
        <v/>
      </c>
      <c r="G34" s="245" t="str">
        <f>IFERROR(VLOOKUP(G$18,'Apoio - Posto'!$A:$AA,15,FALSE),"")</f>
        <v/>
      </c>
      <c r="H34" s="245" t="str">
        <f>IFERROR(VLOOKUP(H$18,'Apoio - Posto'!$A:$AA,15,FALSE),"")</f>
        <v/>
      </c>
      <c r="I34" s="245" t="str">
        <f>IFERROR(VLOOKUP(I$18,'Apoio - Posto'!$A:$AA,15,FALSE),"")</f>
        <v/>
      </c>
      <c r="J34" s="245" t="str">
        <f>IFERROR(VLOOKUP(J$18,'Apoio - Posto'!$A:$AA,15,FALSE),"")</f>
        <v/>
      </c>
      <c r="K34" s="245" t="str">
        <f>IFERROR(VLOOKUP(K$18,'Apoio - Posto'!$A:$AA,15,FALSE),"")</f>
        <v/>
      </c>
      <c r="L34" s="245" t="str">
        <f>IFERROR(VLOOKUP(L$18,'Apoio - Posto'!$A:$AA,15,FALSE),"")</f>
        <v/>
      </c>
      <c r="M34" s="245" t="str">
        <f>IFERROR(VLOOKUP(M$18,'Apoio - Posto'!$A:$AA,15,FALSE),"")</f>
        <v/>
      </c>
      <c r="N34" s="245" t="str">
        <f>IFERROR(VLOOKUP(N$18,'Apoio - Posto'!$A:$AA,15,FALSE),"")</f>
        <v/>
      </c>
      <c r="O34" s="245" t="str">
        <f>IFERROR(VLOOKUP(O$18,'Apoio - Posto'!$A:$AA,15,FALSE),"")</f>
        <v/>
      </c>
      <c r="P34" s="245" t="str">
        <f>IFERROR(VLOOKUP(P$18,'Apoio - Posto'!$A:$AA,15,FALSE),"")</f>
        <v/>
      </c>
      <c r="Q34" s="245" t="str">
        <f>IFERROR(VLOOKUP(Q$18,'Apoio - Posto'!$A:$AA,15,FALSE),"")</f>
        <v/>
      </c>
      <c r="R34" s="245" t="str">
        <f>IFERROR(VLOOKUP(R$18,'Apoio - Posto'!$A:$AA,15,FALSE),"")</f>
        <v/>
      </c>
      <c r="S34" s="245" t="str">
        <f>IFERROR(VLOOKUP(S$18,'Apoio - Posto'!$A:$AA,15,FALSE),"")</f>
        <v/>
      </c>
      <c r="T34" s="245" t="str">
        <f>IFERROR(VLOOKUP(T$18,'Apoio - Posto'!$A:$AA,15,FALSE),"")</f>
        <v/>
      </c>
      <c r="U34" s="245" t="str">
        <f>IFERROR(VLOOKUP(U$18,'Apoio - Posto'!$A:$AA,15,FALSE),"")</f>
        <v/>
      </c>
      <c r="V34" s="245" t="str">
        <f>IFERROR(VLOOKUP(V$18,'Apoio - Posto'!$A:$AA,15,FALSE),"")</f>
        <v/>
      </c>
      <c r="W34" s="245" t="str">
        <f>IFERROR(VLOOKUP(W$18,'Apoio - Posto'!$A:$AA,15,FALSE),"")</f>
        <v/>
      </c>
      <c r="X34" s="245" t="str">
        <f>IFERROR(VLOOKUP(X$18,'Apoio - Posto'!$A:$AA,15,FALSE),"")</f>
        <v/>
      </c>
    </row>
    <row r="35" spans="1:24">
      <c r="A35" s="86"/>
      <c r="B35" s="814"/>
      <c r="C35" s="228"/>
      <c r="D35" s="94" t="s">
        <v>41</v>
      </c>
      <c r="E35" s="101">
        <f>IFERROR((E32)*E34,"")</f>
        <v>0</v>
      </c>
      <c r="F35" s="101" t="str">
        <f t="shared" ref="F35:H35" si="2">IFERROR((F32)*F34,"")</f>
        <v/>
      </c>
      <c r="G35" s="101" t="str">
        <f t="shared" si="2"/>
        <v/>
      </c>
      <c r="H35" s="101" t="str">
        <f t="shared" si="2"/>
        <v/>
      </c>
      <c r="I35" s="101" t="str">
        <f t="shared" ref="I35:N35" si="3">IFERROR((I32)*I34,"")</f>
        <v/>
      </c>
      <c r="J35" s="101" t="str">
        <f t="shared" si="3"/>
        <v/>
      </c>
      <c r="K35" s="101" t="str">
        <f t="shared" si="3"/>
        <v/>
      </c>
      <c r="L35" s="101" t="str">
        <f t="shared" si="3"/>
        <v/>
      </c>
      <c r="M35" s="101" t="str">
        <f t="shared" si="3"/>
        <v/>
      </c>
      <c r="N35" s="101" t="str">
        <f t="shared" si="3"/>
        <v/>
      </c>
      <c r="O35" s="101" t="str">
        <f t="shared" ref="O35:X35" si="4">IFERROR((O32)*O34,"")</f>
        <v/>
      </c>
      <c r="P35" s="101" t="str">
        <f t="shared" si="4"/>
        <v/>
      </c>
      <c r="Q35" s="101" t="str">
        <f t="shared" si="4"/>
        <v/>
      </c>
      <c r="R35" s="101" t="str">
        <f t="shared" si="4"/>
        <v/>
      </c>
      <c r="S35" s="101" t="str">
        <f t="shared" si="4"/>
        <v/>
      </c>
      <c r="T35" s="101" t="str">
        <f t="shared" si="4"/>
        <v/>
      </c>
      <c r="U35" s="101" t="str">
        <f t="shared" si="4"/>
        <v/>
      </c>
      <c r="V35" s="101" t="str">
        <f t="shared" si="4"/>
        <v/>
      </c>
      <c r="W35" s="101" t="str">
        <f t="shared" si="4"/>
        <v/>
      </c>
      <c r="X35" s="101" t="str">
        <f t="shared" si="4"/>
        <v/>
      </c>
    </row>
    <row r="36" spans="1:24">
      <c r="A36" s="86"/>
      <c r="B36" s="802" t="s">
        <v>0</v>
      </c>
      <c r="C36" s="224" t="s">
        <v>186</v>
      </c>
      <c r="D36" s="225"/>
      <c r="E36" s="235"/>
      <c r="F36" s="235"/>
      <c r="G36" s="235"/>
      <c r="H36" s="235"/>
      <c r="I36" s="235"/>
      <c r="J36" s="235"/>
      <c r="K36" s="235"/>
      <c r="L36" s="235"/>
      <c r="M36" s="235"/>
      <c r="N36" s="235"/>
      <c r="O36" s="235"/>
      <c r="P36" s="235"/>
      <c r="Q36" s="235"/>
      <c r="R36" s="235"/>
      <c r="S36" s="235"/>
      <c r="T36" s="235"/>
      <c r="U36" s="235"/>
      <c r="V36" s="235"/>
      <c r="W36" s="235"/>
      <c r="X36" s="235"/>
    </row>
    <row r="37" spans="1:24">
      <c r="A37" s="86"/>
      <c r="B37" s="802"/>
      <c r="C37" s="102" t="s">
        <v>90</v>
      </c>
      <c r="D37" s="92"/>
      <c r="E37" s="246" t="str">
        <f>IFERROR(VLOOKUP(E$18,'Apoio - Posto'!$A:$AA,14,FALSE),"")</f>
        <v>Salário Mínimo</v>
      </c>
      <c r="F37" s="246" t="str">
        <f>IFERROR(VLOOKUP(F$18,'Apoio - Posto'!$A:$AA,14,FALSE),"")</f>
        <v/>
      </c>
      <c r="G37" s="246" t="str">
        <f>IFERROR(VLOOKUP(G$18,'Apoio - Posto'!$A:$AA,14,FALSE),"")</f>
        <v/>
      </c>
      <c r="H37" s="246" t="str">
        <f>IFERROR(VLOOKUP(H$18,'Apoio - Posto'!$A:$AA,14,FALSE),"")</f>
        <v/>
      </c>
      <c r="I37" s="246" t="str">
        <f>IFERROR(VLOOKUP(I$18,'Apoio - Posto'!$A:$AA,14,FALSE),"")</f>
        <v/>
      </c>
      <c r="J37" s="246" t="str">
        <f>IFERROR(VLOOKUP(J$18,'Apoio - Posto'!$A:$AA,14,FALSE),"")</f>
        <v/>
      </c>
      <c r="K37" s="246" t="str">
        <f>IFERROR(VLOOKUP(K$18,'Apoio - Posto'!$A:$AA,14,FALSE),"")</f>
        <v/>
      </c>
      <c r="L37" s="246" t="str">
        <f>IFERROR(VLOOKUP(L$18,'Apoio - Posto'!$A:$AA,14,FALSE),"")</f>
        <v/>
      </c>
      <c r="M37" s="246" t="str">
        <f>IFERROR(VLOOKUP(M$18,'Apoio - Posto'!$A:$AA,14,FALSE),"")</f>
        <v/>
      </c>
      <c r="N37" s="246" t="str">
        <f>IFERROR(VLOOKUP(N$18,'Apoio - Posto'!$A:$AA,14,FALSE),"")</f>
        <v/>
      </c>
      <c r="O37" s="246" t="str">
        <f>IFERROR(VLOOKUP(O$18,'Apoio - Posto'!$A:$AA,14,FALSE),"")</f>
        <v/>
      </c>
      <c r="P37" s="246" t="str">
        <f>IFERROR(VLOOKUP(P$18,'Apoio - Posto'!$A:$AA,14,FALSE),"")</f>
        <v/>
      </c>
      <c r="Q37" s="246" t="str">
        <f>IFERROR(VLOOKUP(Q$18,'Apoio - Posto'!$A:$AA,14,FALSE),"")</f>
        <v/>
      </c>
      <c r="R37" s="246" t="str">
        <f>IFERROR(VLOOKUP(R$18,'Apoio - Posto'!$A:$AA,14,FALSE),"")</f>
        <v/>
      </c>
      <c r="S37" s="246" t="str">
        <f>IFERROR(VLOOKUP(S$18,'Apoio - Posto'!$A:$AA,14,FALSE),"")</f>
        <v/>
      </c>
      <c r="T37" s="246" t="str">
        <f>IFERROR(VLOOKUP(T$18,'Apoio - Posto'!$A:$AA,14,FALSE),"")</f>
        <v/>
      </c>
      <c r="U37" s="246" t="str">
        <f>IFERROR(VLOOKUP(U$18,'Apoio - Posto'!$A:$AA,14,FALSE),"")</f>
        <v/>
      </c>
      <c r="V37" s="246" t="str">
        <f>IFERROR(VLOOKUP(V$18,'Apoio - Posto'!$A:$AA,14,FALSE),"")</f>
        <v/>
      </c>
      <c r="W37" s="246" t="str">
        <f>IFERROR(VLOOKUP(W$18,'Apoio - Posto'!$A:$AA,14,FALSE),"")</f>
        <v/>
      </c>
      <c r="X37" s="246" t="str">
        <f>IFERROR(VLOOKUP(X$18,'Apoio - Posto'!$A:$AA,14,FALSE),"")</f>
        <v/>
      </c>
    </row>
    <row r="38" spans="1:24">
      <c r="A38" s="86"/>
      <c r="B38" s="802"/>
      <c r="C38" s="103" t="s">
        <v>91</v>
      </c>
      <c r="D38" s="93"/>
      <c r="E38" s="247"/>
      <c r="F38" s="247"/>
      <c r="G38" s="247"/>
      <c r="H38" s="247"/>
      <c r="I38" s="247"/>
      <c r="J38" s="247"/>
      <c r="K38" s="247"/>
      <c r="L38" s="247"/>
      <c r="M38" s="247"/>
      <c r="N38" s="247"/>
      <c r="O38" s="247"/>
      <c r="P38" s="247"/>
      <c r="Q38" s="247"/>
      <c r="R38" s="247"/>
      <c r="S38" s="247"/>
      <c r="T38" s="247"/>
      <c r="U38" s="247"/>
      <c r="V38" s="247"/>
      <c r="W38" s="247"/>
      <c r="X38" s="247"/>
    </row>
    <row r="39" spans="1:24">
      <c r="A39" s="86"/>
      <c r="B39" s="803"/>
      <c r="C39" s="97"/>
      <c r="D39" s="94" t="s">
        <v>41</v>
      </c>
      <c r="E39" s="101">
        <f t="shared" ref="E39:N39" si="5">IF(E21="","",IFERROR(IF(E37="Salário Base",E$32,IF(E37="Salário Mínimo",$D$15,0))*E38,""))</f>
        <v>0</v>
      </c>
      <c r="F39" s="101" t="str">
        <f t="shared" si="5"/>
        <v/>
      </c>
      <c r="G39" s="101" t="str">
        <f t="shared" si="5"/>
        <v/>
      </c>
      <c r="H39" s="101" t="str">
        <f t="shared" si="5"/>
        <v/>
      </c>
      <c r="I39" s="101" t="str">
        <f t="shared" si="5"/>
        <v/>
      </c>
      <c r="J39" s="101" t="str">
        <f t="shared" si="5"/>
        <v/>
      </c>
      <c r="K39" s="101" t="str">
        <f t="shared" si="5"/>
        <v/>
      </c>
      <c r="L39" s="101" t="str">
        <f t="shared" si="5"/>
        <v/>
      </c>
      <c r="M39" s="101" t="str">
        <f t="shared" si="5"/>
        <v/>
      </c>
      <c r="N39" s="101" t="str">
        <f t="shared" si="5"/>
        <v/>
      </c>
      <c r="O39" s="101" t="str">
        <f t="shared" ref="O39:X39" si="6">IF(O21="","",IFERROR(IF(O37="Salário Base",O$32,IF(O37="Salário Mínimo",$D$15,0))*O38,""))</f>
        <v/>
      </c>
      <c r="P39" s="101" t="str">
        <f t="shared" si="6"/>
        <v/>
      </c>
      <c r="Q39" s="101" t="str">
        <f t="shared" si="6"/>
        <v/>
      </c>
      <c r="R39" s="101" t="str">
        <f t="shared" si="6"/>
        <v/>
      </c>
      <c r="S39" s="101" t="str">
        <f t="shared" si="6"/>
        <v/>
      </c>
      <c r="T39" s="101" t="str">
        <f t="shared" si="6"/>
        <v/>
      </c>
      <c r="U39" s="101" t="str">
        <f t="shared" si="6"/>
        <v/>
      </c>
      <c r="V39" s="101" t="str">
        <f t="shared" si="6"/>
        <v/>
      </c>
      <c r="W39" s="101" t="str">
        <f t="shared" si="6"/>
        <v/>
      </c>
      <c r="X39" s="101" t="str">
        <f t="shared" si="6"/>
        <v/>
      </c>
    </row>
    <row r="40" spans="1:24">
      <c r="A40" s="231"/>
      <c r="B40" s="812" t="s">
        <v>3</v>
      </c>
      <c r="C40" s="226" t="s">
        <v>81</v>
      </c>
      <c r="D40" s="141"/>
      <c r="E40" s="236"/>
      <c r="F40" s="236"/>
      <c r="G40" s="236"/>
      <c r="H40" s="236"/>
      <c r="I40" s="236"/>
      <c r="J40" s="236"/>
      <c r="K40" s="236"/>
      <c r="L40" s="236"/>
      <c r="M40" s="236"/>
      <c r="N40" s="236"/>
      <c r="O40" s="236"/>
      <c r="P40" s="236"/>
      <c r="Q40" s="236"/>
      <c r="R40" s="236"/>
      <c r="S40" s="236"/>
      <c r="T40" s="236"/>
      <c r="U40" s="236"/>
      <c r="V40" s="236"/>
      <c r="W40" s="236"/>
      <c r="X40" s="236"/>
    </row>
    <row r="41" spans="1:24">
      <c r="A41" s="231"/>
      <c r="B41" s="813"/>
      <c r="C41" s="232" t="s">
        <v>91</v>
      </c>
      <c r="D41" s="142"/>
      <c r="E41" s="245"/>
      <c r="F41" s="245"/>
      <c r="G41" s="245"/>
      <c r="H41" s="245"/>
      <c r="I41" s="245"/>
      <c r="J41" s="245"/>
      <c r="K41" s="245"/>
      <c r="L41" s="245"/>
      <c r="M41" s="245"/>
      <c r="N41" s="245"/>
      <c r="O41" s="245"/>
      <c r="P41" s="245"/>
      <c r="Q41" s="245"/>
      <c r="R41" s="245"/>
      <c r="S41" s="245"/>
      <c r="T41" s="245"/>
      <c r="U41" s="245"/>
      <c r="V41" s="245"/>
      <c r="W41" s="245"/>
      <c r="X41" s="245"/>
    </row>
    <row r="42" spans="1:24">
      <c r="A42" s="231"/>
      <c r="B42" s="814"/>
      <c r="C42" s="97"/>
      <c r="D42" s="94" t="s">
        <v>41</v>
      </c>
      <c r="E42" s="101">
        <f>IFERROR(E41*E$32,"")</f>
        <v>0</v>
      </c>
      <c r="F42" s="101" t="str">
        <f t="shared" ref="F42:H42" si="7">IFERROR(F41*F$32,"")</f>
        <v/>
      </c>
      <c r="G42" s="101" t="str">
        <f t="shared" si="7"/>
        <v/>
      </c>
      <c r="H42" s="101" t="str">
        <f t="shared" si="7"/>
        <v/>
      </c>
      <c r="I42" s="101" t="str">
        <f t="shared" ref="I42:N42" si="8">IFERROR(I41*I$32,"")</f>
        <v/>
      </c>
      <c r="J42" s="101" t="str">
        <f t="shared" si="8"/>
        <v/>
      </c>
      <c r="K42" s="101" t="str">
        <f t="shared" si="8"/>
        <v/>
      </c>
      <c r="L42" s="101" t="str">
        <f t="shared" si="8"/>
        <v/>
      </c>
      <c r="M42" s="101" t="str">
        <f t="shared" si="8"/>
        <v/>
      </c>
      <c r="N42" s="101" t="str">
        <f t="shared" si="8"/>
        <v/>
      </c>
      <c r="O42" s="101" t="str">
        <f t="shared" ref="O42:X42" si="9">IFERROR(O41*O$32,"")</f>
        <v/>
      </c>
      <c r="P42" s="101" t="str">
        <f t="shared" si="9"/>
        <v/>
      </c>
      <c r="Q42" s="101" t="str">
        <f t="shared" si="9"/>
        <v/>
      </c>
      <c r="R42" s="101" t="str">
        <f t="shared" si="9"/>
        <v/>
      </c>
      <c r="S42" s="101" t="str">
        <f t="shared" si="9"/>
        <v/>
      </c>
      <c r="T42" s="101" t="str">
        <f t="shared" si="9"/>
        <v/>
      </c>
      <c r="U42" s="101" t="str">
        <f t="shared" si="9"/>
        <v/>
      </c>
      <c r="V42" s="101" t="str">
        <f t="shared" si="9"/>
        <v/>
      </c>
      <c r="W42" s="101" t="str">
        <f t="shared" si="9"/>
        <v/>
      </c>
      <c r="X42" s="101" t="str">
        <f t="shared" si="9"/>
        <v/>
      </c>
    </row>
    <row r="43" spans="1:24">
      <c r="A43" s="86"/>
      <c r="B43" s="802" t="s">
        <v>7</v>
      </c>
      <c r="C43" s="230" t="s">
        <v>60</v>
      </c>
      <c r="D43" s="229"/>
      <c r="E43" s="237"/>
      <c r="F43" s="237"/>
      <c r="G43" s="237"/>
      <c r="H43" s="237"/>
      <c r="I43" s="237"/>
      <c r="J43" s="237"/>
      <c r="K43" s="237"/>
      <c r="L43" s="237"/>
      <c r="M43" s="237"/>
      <c r="N43" s="237"/>
      <c r="O43" s="237"/>
      <c r="P43" s="237"/>
      <c r="Q43" s="237"/>
      <c r="R43" s="237"/>
      <c r="S43" s="237"/>
      <c r="T43" s="237"/>
      <c r="U43" s="237"/>
      <c r="V43" s="237"/>
      <c r="W43" s="237"/>
      <c r="X43" s="237"/>
    </row>
    <row r="44" spans="1:24">
      <c r="A44" s="86"/>
      <c r="B44" s="802"/>
      <c r="C44" s="102" t="s">
        <v>85</v>
      </c>
      <c r="D44" s="139"/>
      <c r="E44" s="145" t="str">
        <f t="shared" ref="E44:N44" si="10">IF(AND(E20=5173,E26="12x36 Noturno"),8,"")</f>
        <v/>
      </c>
      <c r="F44" s="145" t="str">
        <f t="shared" si="10"/>
        <v/>
      </c>
      <c r="G44" s="145" t="str">
        <f t="shared" si="10"/>
        <v/>
      </c>
      <c r="H44" s="145" t="str">
        <f t="shared" si="10"/>
        <v/>
      </c>
      <c r="I44" s="145" t="str">
        <f t="shared" si="10"/>
        <v/>
      </c>
      <c r="J44" s="145" t="str">
        <f t="shared" si="10"/>
        <v/>
      </c>
      <c r="K44" s="145" t="str">
        <f t="shared" si="10"/>
        <v/>
      </c>
      <c r="L44" s="145" t="str">
        <f t="shared" si="10"/>
        <v/>
      </c>
      <c r="M44" s="145" t="str">
        <f t="shared" si="10"/>
        <v/>
      </c>
      <c r="N44" s="145" t="str">
        <f t="shared" si="10"/>
        <v/>
      </c>
      <c r="O44" s="145" t="str">
        <f t="shared" ref="O44:X44" si="11">IF(AND(O20=5173,O26="12x36 Noturno"),8,"")</f>
        <v/>
      </c>
      <c r="P44" s="145" t="str">
        <f t="shared" si="11"/>
        <v/>
      </c>
      <c r="Q44" s="145" t="str">
        <f t="shared" si="11"/>
        <v/>
      </c>
      <c r="R44" s="145" t="str">
        <f t="shared" si="11"/>
        <v/>
      </c>
      <c r="S44" s="145" t="str">
        <f t="shared" si="11"/>
        <v/>
      </c>
      <c r="T44" s="145" t="str">
        <f t="shared" si="11"/>
        <v/>
      </c>
      <c r="U44" s="145" t="str">
        <f t="shared" si="11"/>
        <v/>
      </c>
      <c r="V44" s="145" t="str">
        <f t="shared" si="11"/>
        <v/>
      </c>
      <c r="W44" s="145" t="str">
        <f t="shared" si="11"/>
        <v/>
      </c>
      <c r="X44" s="145" t="str">
        <f t="shared" si="11"/>
        <v/>
      </c>
    </row>
    <row r="45" spans="1:24">
      <c r="A45" s="86"/>
      <c r="B45" s="802"/>
      <c r="C45" s="103" t="s">
        <v>141</v>
      </c>
      <c r="D45" s="140"/>
      <c r="E45" s="146" t="str">
        <f>IF(E44="","",VLOOKUP(E26,'Apoio - Regime de Trabalho'!$A:$I,7,FALSE))</f>
        <v/>
      </c>
      <c r="F45" s="146" t="str">
        <f>IF(F44="","",VLOOKUP(F26,'Apoio - Regime de Trabalho'!$A:$I,7,FALSE))</f>
        <v/>
      </c>
      <c r="G45" s="146" t="str">
        <f>IF(G44="","",VLOOKUP(G26,'Apoio - Regime de Trabalho'!$A:$I,7,FALSE))</f>
        <v/>
      </c>
      <c r="H45" s="146" t="str">
        <f>IF(H44="","",VLOOKUP(H26,'Apoio - Regime de Trabalho'!$A:$I,7,FALSE))</f>
        <v/>
      </c>
      <c r="I45" s="146" t="str">
        <f>IF(I44="","",VLOOKUP(I26,'Apoio - Regime de Trabalho'!$A:$I,7,FALSE))</f>
        <v/>
      </c>
      <c r="J45" s="146" t="str">
        <f>IF(J44="","",VLOOKUP(J26,'Apoio - Regime de Trabalho'!$A:$I,7,FALSE))</f>
        <v/>
      </c>
      <c r="K45" s="146" t="str">
        <f>IF(K44="","",VLOOKUP(K26,'Apoio - Regime de Trabalho'!$A:$I,7,FALSE))</f>
        <v/>
      </c>
      <c r="L45" s="146" t="str">
        <f>IF(L44="","",VLOOKUP(L26,'Apoio - Regime de Trabalho'!$A:$I,7,FALSE))</f>
        <v/>
      </c>
      <c r="M45" s="146" t="str">
        <f>IF(M44="","",VLOOKUP(M26,'Apoio - Regime de Trabalho'!$A:$I,7,FALSE))</f>
        <v/>
      </c>
      <c r="N45" s="146" t="str">
        <f>IF(N44="","",VLOOKUP(N26,'Apoio - Regime de Trabalho'!$A:$I,7,FALSE))</f>
        <v/>
      </c>
      <c r="O45" s="146" t="str">
        <f>IF(O44="","",VLOOKUP(O26,'Apoio - Regime de Trabalho'!$A:$I,7,FALSE))</f>
        <v/>
      </c>
      <c r="P45" s="146" t="str">
        <f>IF(P44="","",VLOOKUP(P26,'Apoio - Regime de Trabalho'!$A:$I,7,FALSE))</f>
        <v/>
      </c>
      <c r="Q45" s="146" t="str">
        <f>IF(Q44="","",VLOOKUP(Q26,'Apoio - Regime de Trabalho'!$A:$I,7,FALSE))</f>
        <v/>
      </c>
      <c r="R45" s="146" t="str">
        <f>IF(R44="","",VLOOKUP(R26,'Apoio - Regime de Trabalho'!$A:$I,7,FALSE))</f>
        <v/>
      </c>
      <c r="S45" s="146" t="str">
        <f>IF(S44="","",VLOOKUP(S26,'Apoio - Regime de Trabalho'!$A:$I,7,FALSE))</f>
        <v/>
      </c>
      <c r="T45" s="146" t="str">
        <f>IF(T44="","",VLOOKUP(T26,'Apoio - Regime de Trabalho'!$A:$I,7,FALSE))</f>
        <v/>
      </c>
      <c r="U45" s="146" t="str">
        <f>IF(U44="","",VLOOKUP(U26,'Apoio - Regime de Trabalho'!$A:$I,7,FALSE))</f>
        <v/>
      </c>
      <c r="V45" s="146" t="str">
        <f>IF(V44="","",VLOOKUP(V26,'Apoio - Regime de Trabalho'!$A:$I,7,FALSE))</f>
        <v/>
      </c>
      <c r="W45" s="146" t="str">
        <f>IF(W44="","",VLOOKUP(W26,'Apoio - Regime de Trabalho'!$A:$I,7,FALSE))</f>
        <v/>
      </c>
      <c r="X45" s="146" t="str">
        <f>IF(X44="","",VLOOKUP(X26,'Apoio - Regime de Trabalho'!$A:$I,7,FALSE))</f>
        <v/>
      </c>
    </row>
    <row r="46" spans="1:24">
      <c r="A46" s="86"/>
      <c r="B46" s="803"/>
      <c r="C46" s="88"/>
      <c r="D46" s="94" t="s">
        <v>41</v>
      </c>
      <c r="E46" s="147" t="str">
        <f>IFERROR(SUM(E$32,E$35,E$39)/(VLOOKUP(E$26,'Apoio - Regime de Trabalho'!$A:$I,8,FALSE))*20%*E$44*E$45,"")</f>
        <v/>
      </c>
      <c r="F46" s="147" t="str">
        <f>IFERROR(SUM(F$32,F$35,F$39)/(VLOOKUP(F$26,'Apoio - Regime de Trabalho'!$A:$I,8,FALSE))*20%*F$44*F$45,"")</f>
        <v/>
      </c>
      <c r="G46" s="147" t="str">
        <f>IFERROR(SUM(G$32,G$35,G$39)/(VLOOKUP(G$26,'Apoio - Regime de Trabalho'!$A:$I,8,FALSE))*20%*G$44*G$45,"")</f>
        <v/>
      </c>
      <c r="H46" s="147" t="str">
        <f>IFERROR(SUM(H$32,H$35,H$39)/(VLOOKUP(H$26,'Apoio - Regime de Trabalho'!$A:$I,8,FALSE))*20%*H$44*H$45,"")</f>
        <v/>
      </c>
      <c r="I46" s="147" t="str">
        <f>IFERROR(SUM(I$32,I$35,I$39)/(VLOOKUP(I$26,'Apoio - Regime de Trabalho'!$A:$I,8,FALSE))*20%*I$44*I$45,"")</f>
        <v/>
      </c>
      <c r="J46" s="147" t="str">
        <f>IFERROR(SUM(J$32,J$35,J$39)/(VLOOKUP(J$26,'Apoio - Regime de Trabalho'!$A:$I,8,FALSE))*20%*J$44*J$45,"")</f>
        <v/>
      </c>
      <c r="K46" s="147" t="str">
        <f>IFERROR(SUM(K$32,K$35,K$39)/(VLOOKUP(K$26,'Apoio - Regime de Trabalho'!$A:$I,8,FALSE))*20%*K$44*K$45,"")</f>
        <v/>
      </c>
      <c r="L46" s="147" t="str">
        <f>IFERROR(SUM(L$32,L$35,L$39)/(VLOOKUP(L$26,'Apoio - Regime de Trabalho'!$A:$I,8,FALSE))*20%*L$44*L$45,"")</f>
        <v/>
      </c>
      <c r="M46" s="147" t="str">
        <f>IFERROR(SUM(M$32,M$35,M$39)/(VLOOKUP(M$26,'Apoio - Regime de Trabalho'!$A:$I,8,FALSE))*20%*M$44*M$45,"")</f>
        <v/>
      </c>
      <c r="N46" s="147" t="str">
        <f>IFERROR(SUM(N$32,N$35,N$39)/(VLOOKUP(N$26,'Apoio - Regime de Trabalho'!$A:$I,8,FALSE))*20%*N$44*N$45,"")</f>
        <v/>
      </c>
      <c r="O46" s="147" t="str">
        <f>IFERROR(SUM(O$32,O$35,O$39)/(VLOOKUP(O$26,'Apoio - Regime de Trabalho'!$A:$I,8,FALSE))*20%*O$44*O$45,"")</f>
        <v/>
      </c>
      <c r="P46" s="147" t="str">
        <f>IFERROR(SUM(P$32,P$35,P$39)/(VLOOKUP(P$26,'Apoio - Regime de Trabalho'!$A:$I,8,FALSE))*20%*P$44*P$45,"")</f>
        <v/>
      </c>
      <c r="Q46" s="147" t="str">
        <f>IFERROR(SUM(Q$32,Q$35,Q$39)/(VLOOKUP(Q$26,'Apoio - Regime de Trabalho'!$A:$I,8,FALSE))*20%*Q$44*Q$45,"")</f>
        <v/>
      </c>
      <c r="R46" s="147" t="str">
        <f>IFERROR(SUM(R$32,R$35,R$39)/(VLOOKUP(R$26,'Apoio - Regime de Trabalho'!$A:$I,8,FALSE))*20%*R$44*R$45,"")</f>
        <v/>
      </c>
      <c r="S46" s="147" t="str">
        <f>IFERROR(SUM(S$32,S$35,S$39)/(VLOOKUP(S$26,'Apoio - Regime de Trabalho'!$A:$I,8,FALSE))*20%*S$44*S$45,"")</f>
        <v/>
      </c>
      <c r="T46" s="147" t="str">
        <f>IFERROR(SUM(T$32,T$35,T$39)/(VLOOKUP(T$26,'Apoio - Regime de Trabalho'!$A:$I,8,FALSE))*20%*T$44*T$45,"")</f>
        <v/>
      </c>
      <c r="U46" s="147" t="str">
        <f>IFERROR(SUM(U$32,U$35,U$39)/(VLOOKUP(U$26,'Apoio - Regime de Trabalho'!$A:$I,8,FALSE))*20%*U$44*U$45,"")</f>
        <v/>
      </c>
      <c r="V46" s="147" t="str">
        <f>IFERROR(SUM(V$32,V$35,V$39)/(VLOOKUP(V$26,'Apoio - Regime de Trabalho'!$A:$I,8,FALSE))*20%*V$44*V$45,"")</f>
        <v/>
      </c>
      <c r="W46" s="147" t="str">
        <f>IFERROR(SUM(W$32,W$35,W$39)/(VLOOKUP(W$26,'Apoio - Regime de Trabalho'!$A:$I,8,FALSE))*20%*W$44*W$45,"")</f>
        <v/>
      </c>
      <c r="X46" s="147" t="str">
        <f>IFERROR(SUM(X$32,X$35,X$39)/(VLOOKUP(X$26,'Apoio - Regime de Trabalho'!$A:$I,8,FALSE))*20%*X$44*X$45,"")</f>
        <v/>
      </c>
    </row>
    <row r="47" spans="1:24">
      <c r="A47" s="86"/>
      <c r="B47" s="804" t="s">
        <v>6</v>
      </c>
      <c r="C47" s="135" t="s">
        <v>139</v>
      </c>
      <c r="D47" s="141"/>
      <c r="E47" s="238"/>
      <c r="F47" s="238"/>
      <c r="G47" s="238"/>
      <c r="H47" s="238"/>
      <c r="I47" s="238"/>
      <c r="J47" s="238"/>
      <c r="K47" s="238"/>
      <c r="L47" s="238"/>
      <c r="M47" s="238"/>
      <c r="N47" s="238"/>
      <c r="O47" s="238"/>
      <c r="P47" s="238"/>
      <c r="Q47" s="238"/>
      <c r="R47" s="238"/>
      <c r="S47" s="238"/>
      <c r="T47" s="238"/>
      <c r="U47" s="238"/>
      <c r="V47" s="238"/>
      <c r="W47" s="238"/>
      <c r="X47" s="238"/>
    </row>
    <row r="48" spans="1:24">
      <c r="A48" s="130"/>
      <c r="B48" s="805"/>
      <c r="C48" s="136" t="s">
        <v>19</v>
      </c>
      <c r="D48" s="142"/>
      <c r="E48" s="149" t="str">
        <f>IF(E44="","",E45*E44*('Apoio - Notas Explicativas'!$D$11/'Apoio - Notas Explicativas'!$D$12-1)
*IF(AND(E20=5173,E26="12x36 Noturno"),0,1))</f>
        <v/>
      </c>
      <c r="F48" s="149" t="str">
        <f>IF(F44="","",F45*F44*('Apoio - Notas Explicativas'!$D$11/'Apoio - Notas Explicativas'!$D$12-1)
*IF(AND(F20=5173,F26="12x36 Noturno"),0,1))</f>
        <v/>
      </c>
      <c r="G48" s="149" t="str">
        <f>IF(G44="","",G45*G44*('Apoio - Notas Explicativas'!$D$11/'Apoio - Notas Explicativas'!$D$12-1)
*IF(AND(G20=5173,G26="12x36 Noturno"),0,1))</f>
        <v/>
      </c>
      <c r="H48" s="149" t="str">
        <f>IF(H44="","",H45*H44*('Apoio - Notas Explicativas'!$D$11/'Apoio - Notas Explicativas'!$D$12-1)
*IF(AND(H20=5173,H26="12x36 Noturno"),0,1))</f>
        <v/>
      </c>
      <c r="I48" s="149" t="str">
        <f>IF(I44="","",I45*I44*('Apoio - Notas Explicativas'!$D$11/'Apoio - Notas Explicativas'!$D$12-1)
*IF(AND(I20=5173,I26="12x36 Noturno"),0,1))</f>
        <v/>
      </c>
      <c r="J48" s="149" t="str">
        <f>IF(J44="","",J45*J44*('Apoio - Notas Explicativas'!$D$11/'Apoio - Notas Explicativas'!$D$12-1)
*IF(AND(J20=5173,J26="12x36 Noturno"),0,1))</f>
        <v/>
      </c>
      <c r="K48" s="149" t="str">
        <f>IF(K44="","",K45*K44*('Apoio - Notas Explicativas'!$D$11/'Apoio - Notas Explicativas'!$D$12-1)
*IF(AND(K20=5173,K26="12x36 Noturno"),0,1))</f>
        <v/>
      </c>
      <c r="L48" s="149" t="str">
        <f>IF(L44="","",L45*L44*('Apoio - Notas Explicativas'!$D$11/'Apoio - Notas Explicativas'!$D$12-1)
*IF(AND(L20=5173,L26="12x36 Noturno"),0,1))</f>
        <v/>
      </c>
      <c r="M48" s="149" t="str">
        <f>IF(M44="","",M45*M44*('Apoio - Notas Explicativas'!$D$11/'Apoio - Notas Explicativas'!$D$12-1)
*IF(AND(M20=5173,M26="12x36 Noturno"),0,1))</f>
        <v/>
      </c>
      <c r="N48" s="149" t="str">
        <f>IF(N44="","",N45*N44*('Apoio - Notas Explicativas'!$D$11/'Apoio - Notas Explicativas'!$D$12-1)
*IF(AND(N20=5173,N26="12x36 Noturno"),0,1))</f>
        <v/>
      </c>
      <c r="O48" s="149" t="str">
        <f>IF(O44="","",O45*O44*('Apoio - Notas Explicativas'!$D$11/'Apoio - Notas Explicativas'!$D$12-1)
*IF(AND(O20=5173,O26="12x36 Noturno"),0,1))</f>
        <v/>
      </c>
      <c r="P48" s="149" t="str">
        <f>IF(P44="","",P45*P44*('Apoio - Notas Explicativas'!$D$11/'Apoio - Notas Explicativas'!$D$12-1)
*IF(AND(P20=5173,P26="12x36 Noturno"),0,1))</f>
        <v/>
      </c>
      <c r="Q48" s="149" t="str">
        <f>IF(Q44="","",Q45*Q44*('Apoio - Notas Explicativas'!$D$11/'Apoio - Notas Explicativas'!$D$12-1)
*IF(AND(Q20=5173,Q26="12x36 Noturno"),0,1))</f>
        <v/>
      </c>
      <c r="R48" s="149" t="str">
        <f>IF(R44="","",R45*R44*('Apoio - Notas Explicativas'!$D$11/'Apoio - Notas Explicativas'!$D$12-1)
*IF(AND(R20=5173,R26="12x36 Noturno"),0,1))</f>
        <v/>
      </c>
      <c r="S48" s="149" t="str">
        <f>IF(S44="","",S45*S44*('Apoio - Notas Explicativas'!$D$11/'Apoio - Notas Explicativas'!$D$12-1)
*IF(AND(S20=5173,S26="12x36 Noturno"),0,1))</f>
        <v/>
      </c>
      <c r="T48" s="149" t="str">
        <f>IF(T44="","",T45*T44*('Apoio - Notas Explicativas'!$D$11/'Apoio - Notas Explicativas'!$D$12-1)
*IF(AND(T20=5173,T26="12x36 Noturno"),0,1))</f>
        <v/>
      </c>
      <c r="U48" s="149" t="str">
        <f>IF(U44="","",U45*U44*('Apoio - Notas Explicativas'!$D$11/'Apoio - Notas Explicativas'!$D$12-1)
*IF(AND(U20=5173,U26="12x36 Noturno"),0,1))</f>
        <v/>
      </c>
      <c r="V48" s="149" t="str">
        <f>IF(V44="","",V45*V44*('Apoio - Notas Explicativas'!$D$11/'Apoio - Notas Explicativas'!$D$12-1)
*IF(AND(V20=5173,V26="12x36 Noturno"),0,1))</f>
        <v/>
      </c>
      <c r="W48" s="149" t="str">
        <f>IF(W44="","",W45*W44*('Apoio - Notas Explicativas'!$D$11/'Apoio - Notas Explicativas'!$D$12-1)
*IF(AND(W20=5173,W26="12x36 Noturno"),0,1))</f>
        <v/>
      </c>
      <c r="X48" s="149" t="str">
        <f>IF(X44="","",X45*X44*('Apoio - Notas Explicativas'!$D$11/'Apoio - Notas Explicativas'!$D$12-1)
*IF(AND(X20=5173,X26="12x36 Noturno"),0,1))</f>
        <v/>
      </c>
    </row>
    <row r="49" spans="1:24">
      <c r="A49" s="130"/>
      <c r="B49" s="806"/>
      <c r="C49" s="100"/>
      <c r="D49" s="94" t="s">
        <v>41</v>
      </c>
      <c r="E49" s="101" t="str">
        <f>IFERROR(E48*(SUM(E$32,E$35,E$39)/(VLOOKUP(E$26,'Apoio - Regime de Trabalho'!$A:$I,8,FALSE))*120%),"")</f>
        <v/>
      </c>
      <c r="F49" s="101" t="str">
        <f>IFERROR(F48*(SUM(F$32,F$35,F$39)/(VLOOKUP(F$26,'Apoio - Regime de Trabalho'!$A:$I,8,FALSE))*120%),"")</f>
        <v/>
      </c>
      <c r="G49" s="101" t="str">
        <f>IFERROR(G48*(SUM(G$32,G$35,G$39)/(VLOOKUP(G$26,'Apoio - Regime de Trabalho'!$A:$I,8,FALSE))*120%),"")</f>
        <v/>
      </c>
      <c r="H49" s="101" t="str">
        <f>IFERROR(H48*(SUM(H$32,H$35,H$39)/(VLOOKUP(H$26,'Apoio - Regime de Trabalho'!$A:$I,8,FALSE))*120%),"")</f>
        <v/>
      </c>
      <c r="I49" s="101" t="str">
        <f>IFERROR(I48*(SUM(I$32,I$35,I$39)/(VLOOKUP(I$26,'Apoio - Regime de Trabalho'!$A:$I,8,FALSE))*120%),"")</f>
        <v/>
      </c>
      <c r="J49" s="101" t="str">
        <f>IFERROR(J48*(SUM(J$32,J$35,J$39)/(VLOOKUP(J$26,'Apoio - Regime de Trabalho'!$A:$I,8,FALSE))*120%),"")</f>
        <v/>
      </c>
      <c r="K49" s="101" t="str">
        <f>IFERROR(K48*(SUM(K$32,K$35,K$39)/(VLOOKUP(K$26,'Apoio - Regime de Trabalho'!$A:$I,8,FALSE))*120%),"")</f>
        <v/>
      </c>
      <c r="L49" s="101" t="str">
        <f>IFERROR(L48*(SUM(L$32,L$35,L$39)/(VLOOKUP(L$26,'Apoio - Regime de Trabalho'!$A:$I,8,FALSE))*120%),"")</f>
        <v/>
      </c>
      <c r="M49" s="101" t="str">
        <f>IFERROR(M48*(SUM(M$32,M$35,M$39)/(VLOOKUP(M$26,'Apoio - Regime de Trabalho'!$A:$I,8,FALSE))*120%),"")</f>
        <v/>
      </c>
      <c r="N49" s="101" t="str">
        <f>IFERROR(N48*(SUM(N$32,N$35,N$39)/(VLOOKUP(N$26,'Apoio - Regime de Trabalho'!$A:$I,8,FALSE))*120%),"")</f>
        <v/>
      </c>
      <c r="O49" s="101" t="str">
        <f>IFERROR(O48*(SUM(O$32,O$35,O$39)/(VLOOKUP(O$26,'Apoio - Regime de Trabalho'!$A:$I,8,FALSE))*120%),"")</f>
        <v/>
      </c>
      <c r="P49" s="101" t="str">
        <f>IFERROR(P48*(SUM(P$32,P$35,P$39)/(VLOOKUP(P$26,'Apoio - Regime de Trabalho'!$A:$I,8,FALSE))*120%),"")</f>
        <v/>
      </c>
      <c r="Q49" s="101" t="str">
        <f>IFERROR(Q48*(SUM(Q$32,Q$35,Q$39)/(VLOOKUP(Q$26,'Apoio - Regime de Trabalho'!$A:$I,8,FALSE))*120%),"")</f>
        <v/>
      </c>
      <c r="R49" s="101" t="str">
        <f>IFERROR(R48*(SUM(R$32,R$35,R$39)/(VLOOKUP(R$26,'Apoio - Regime de Trabalho'!$A:$I,8,FALSE))*120%),"")</f>
        <v/>
      </c>
      <c r="S49" s="101" t="str">
        <f>IFERROR(S48*(SUM(S$32,S$35,S$39)/(VLOOKUP(S$26,'Apoio - Regime de Trabalho'!$A:$I,8,FALSE))*120%),"")</f>
        <v/>
      </c>
      <c r="T49" s="101" t="str">
        <f>IFERROR(T48*(SUM(T$32,T$35,T$39)/(VLOOKUP(T$26,'Apoio - Regime de Trabalho'!$A:$I,8,FALSE))*120%),"")</f>
        <v/>
      </c>
      <c r="U49" s="101" t="str">
        <f>IFERROR(U48*(SUM(U$32,U$35,U$39)/(VLOOKUP(U$26,'Apoio - Regime de Trabalho'!$A:$I,8,FALSE))*120%),"")</f>
        <v/>
      </c>
      <c r="V49" s="101" t="str">
        <f>IFERROR(V48*(SUM(V$32,V$35,V$39)/(VLOOKUP(V$26,'Apoio - Regime de Trabalho'!$A:$I,8,FALSE))*120%),"")</f>
        <v/>
      </c>
      <c r="W49" s="101" t="str">
        <f>IFERROR(W48*(SUM(W$32,W$35,W$39)/(VLOOKUP(W$26,'Apoio - Regime de Trabalho'!$A:$I,8,FALSE))*120%),"")</f>
        <v/>
      </c>
      <c r="X49" s="101" t="str">
        <f>IFERROR(X48*(SUM(X$32,X$35,X$39)/(VLOOKUP(X$26,'Apoio - Regime de Trabalho'!$A:$I,8,FALSE))*120%),"")</f>
        <v/>
      </c>
    </row>
    <row r="50" spans="1:24">
      <c r="A50" s="130"/>
      <c r="B50" s="801" t="s">
        <v>5</v>
      </c>
      <c r="C50" s="160" t="s">
        <v>149</v>
      </c>
      <c r="D50" s="141"/>
      <c r="E50" s="236"/>
      <c r="F50" s="236"/>
      <c r="G50" s="236"/>
      <c r="H50" s="236"/>
      <c r="I50" s="236"/>
      <c r="J50" s="236"/>
      <c r="K50" s="236"/>
      <c r="L50" s="236"/>
      <c r="M50" s="236"/>
      <c r="N50" s="236"/>
      <c r="O50" s="236"/>
      <c r="P50" s="236"/>
      <c r="Q50" s="236"/>
      <c r="R50" s="236"/>
      <c r="S50" s="236"/>
      <c r="T50" s="236"/>
      <c r="U50" s="236"/>
      <c r="V50" s="236"/>
      <c r="W50" s="236"/>
      <c r="X50" s="236"/>
    </row>
    <row r="51" spans="1:24">
      <c r="A51" s="86"/>
      <c r="B51" s="802"/>
      <c r="C51" s="102" t="s">
        <v>91</v>
      </c>
      <c r="D51" s="158"/>
      <c r="E51" s="159">
        <v>0.5</v>
      </c>
      <c r="F51" s="159"/>
      <c r="G51" s="159"/>
      <c r="H51" s="159"/>
      <c r="I51" s="159"/>
      <c r="J51" s="159"/>
      <c r="K51" s="159"/>
      <c r="L51" s="159"/>
      <c r="M51" s="159"/>
      <c r="N51" s="159"/>
      <c r="O51" s="159"/>
      <c r="P51" s="159"/>
      <c r="Q51" s="159"/>
      <c r="R51" s="159"/>
      <c r="S51" s="159"/>
      <c r="T51" s="159"/>
      <c r="U51" s="159"/>
      <c r="V51" s="159"/>
      <c r="W51" s="159"/>
      <c r="X51" s="159"/>
    </row>
    <row r="52" spans="1:24">
      <c r="A52" s="86"/>
      <c r="B52" s="802"/>
      <c r="C52" s="103" t="s">
        <v>20</v>
      </c>
      <c r="D52" s="143"/>
      <c r="E52" s="150">
        <v>8</v>
      </c>
      <c r="F52" s="150"/>
      <c r="G52" s="150"/>
      <c r="H52" s="150"/>
      <c r="I52" s="150"/>
      <c r="J52" s="150"/>
      <c r="K52" s="150"/>
      <c r="L52" s="150"/>
      <c r="M52" s="150"/>
      <c r="N52" s="150"/>
      <c r="O52" s="150"/>
      <c r="P52" s="150"/>
      <c r="Q52" s="150"/>
      <c r="R52" s="150"/>
      <c r="S52" s="150"/>
      <c r="T52" s="150"/>
      <c r="U52" s="150"/>
      <c r="V52" s="150"/>
      <c r="W52" s="150"/>
      <c r="X52" s="150"/>
    </row>
    <row r="53" spans="1:24">
      <c r="A53" s="86"/>
      <c r="B53" s="803"/>
      <c r="C53" s="88"/>
      <c r="D53" s="94" t="s">
        <v>41</v>
      </c>
      <c r="E53" s="96">
        <f>IFERROR(SUM(E$32,E$35,E$39,E$46)/(VLOOKUP(E$26,'Apoio - Regime de Trabalho'!$A:$I,8,FALSE))*(1+E$51)*E$52,"")</f>
        <v>117.774</v>
      </c>
      <c r="F53" s="96" t="str">
        <f>IFERROR(SUM(F$32,F$35,F$39,F$46)/(VLOOKUP(F$26,'Apoio - Regime de Trabalho'!$A:$I,8,FALSE))*(1+F$51)*F$52,"")</f>
        <v/>
      </c>
      <c r="G53" s="96" t="str">
        <f>IFERROR(SUM(G$32,G$35,G$39,G$46)/(VLOOKUP(G$26,'Apoio - Regime de Trabalho'!$A:$I,8,FALSE))*(1+G$51)*G$52,"")</f>
        <v/>
      </c>
      <c r="H53" s="96" t="str">
        <f>IFERROR(SUM(H$32,H$35,H$39,H$46)/(VLOOKUP(H$26,'Apoio - Regime de Trabalho'!$A:$I,8,FALSE))*(1+H$51)*H$52,"")</f>
        <v/>
      </c>
      <c r="I53" s="96" t="str">
        <f>IFERROR(SUM(I$32,I$35,I$39,I$46)/(VLOOKUP(I$26,'Apoio - Regime de Trabalho'!$A:$I,8,FALSE))*(1+I$51)*I$52,"")</f>
        <v/>
      </c>
      <c r="J53" s="96" t="str">
        <f>IFERROR(SUM(J$32,J$35,J$39,J$46)/(VLOOKUP(J$26,'Apoio - Regime de Trabalho'!$A:$I,8,FALSE))*(1+J$51)*J$52,"")</f>
        <v/>
      </c>
      <c r="K53" s="96" t="str">
        <f>IFERROR(SUM(K$32,K$35,K$39,K$46)/(VLOOKUP(K$26,'Apoio - Regime de Trabalho'!$A:$I,8,FALSE))*(1+K$51)*K$52,"")</f>
        <v/>
      </c>
      <c r="L53" s="96" t="str">
        <f>IFERROR(SUM(L$32,L$35,L$39,L$46)/(VLOOKUP(L$26,'Apoio - Regime de Trabalho'!$A:$I,8,FALSE))*(1+L$51)*L$52,"")</f>
        <v/>
      </c>
      <c r="M53" s="96" t="str">
        <f>IFERROR(SUM(M$32,M$35,M$39,M$46)/(VLOOKUP(M$26,'Apoio - Regime de Trabalho'!$A:$I,8,FALSE))*(1+M$51)*M$52,"")</f>
        <v/>
      </c>
      <c r="N53" s="96" t="str">
        <f>IFERROR(SUM(N$32,N$35,N$39,N$46)/(VLOOKUP(N$26,'Apoio - Regime de Trabalho'!$A:$I,8,FALSE))*(1+N$51)*N$52,"")</f>
        <v/>
      </c>
      <c r="O53" s="96" t="str">
        <f>IFERROR(SUM(O$32,O$35,O$39,O$46)/(VLOOKUP(O$26,'Apoio - Regime de Trabalho'!$A:$I,8,FALSE))*(1+O$51)*O$52,"")</f>
        <v/>
      </c>
      <c r="P53" s="96" t="str">
        <f>IFERROR(SUM(P$32,P$35,P$39,P$46)/(VLOOKUP(P$26,'Apoio - Regime de Trabalho'!$A:$I,8,FALSE))*(1+P$51)*P$52,"")</f>
        <v/>
      </c>
      <c r="Q53" s="96" t="str">
        <f>IFERROR(SUM(Q$32,Q$35,Q$39,Q$46)/(VLOOKUP(Q$26,'Apoio - Regime de Trabalho'!$A:$I,8,FALSE))*(1+Q$51)*Q$52,"")</f>
        <v/>
      </c>
      <c r="R53" s="96" t="str">
        <f>IFERROR(SUM(R$32,R$35,R$39,R$46)/(VLOOKUP(R$26,'Apoio - Regime de Trabalho'!$A:$I,8,FALSE))*(1+R$51)*R$52,"")</f>
        <v/>
      </c>
      <c r="S53" s="96" t="str">
        <f>IFERROR(SUM(S$32,S$35,S$39,S$46)/(VLOOKUP(S$26,'Apoio - Regime de Trabalho'!$A:$I,8,FALSE))*(1+S$51)*S$52,"")</f>
        <v/>
      </c>
      <c r="T53" s="96" t="str">
        <f>IFERROR(SUM(T$32,T$35,T$39,T$46)/(VLOOKUP(T$26,'Apoio - Regime de Trabalho'!$A:$I,8,FALSE))*(1+T$51)*T$52,"")</f>
        <v/>
      </c>
      <c r="U53" s="96" t="str">
        <f>IFERROR(SUM(U$32,U$35,U$39,U$46)/(VLOOKUP(U$26,'Apoio - Regime de Trabalho'!$A:$I,8,FALSE))*(1+U$51)*U$52,"")</f>
        <v/>
      </c>
      <c r="V53" s="96" t="str">
        <f>IFERROR(SUM(V$32,V$35,V$39,V$46)/(VLOOKUP(V$26,'Apoio - Regime de Trabalho'!$A:$I,8,FALSE))*(1+V$51)*V$52,"")</f>
        <v/>
      </c>
      <c r="W53" s="96" t="str">
        <f>IFERROR(SUM(W$32,W$35,W$39,W$46)/(VLOOKUP(W$26,'Apoio - Regime de Trabalho'!$A:$I,8,FALSE))*(1+W$51)*W$52,"")</f>
        <v/>
      </c>
      <c r="X53" s="96" t="str">
        <f>IFERROR(SUM(X$32,X$35,X$39,X$46)/(VLOOKUP(X$26,'Apoio - Regime de Trabalho'!$A:$I,8,FALSE))*(1+X$51)*X$52,"")</f>
        <v/>
      </c>
    </row>
    <row r="54" spans="1:24">
      <c r="A54" s="86"/>
      <c r="B54" s="804" t="s">
        <v>4</v>
      </c>
      <c r="C54" s="135" t="s">
        <v>82</v>
      </c>
      <c r="D54" s="141"/>
      <c r="E54" s="239"/>
      <c r="F54" s="239"/>
      <c r="G54" s="239"/>
      <c r="H54" s="239"/>
      <c r="I54" s="239"/>
      <c r="J54" s="239"/>
      <c r="K54" s="239"/>
      <c r="L54" s="239"/>
      <c r="M54" s="239"/>
      <c r="N54" s="239"/>
      <c r="O54" s="239"/>
      <c r="P54" s="239"/>
      <c r="Q54" s="239"/>
      <c r="R54" s="239"/>
      <c r="S54" s="239"/>
      <c r="T54" s="239"/>
      <c r="U54" s="239"/>
      <c r="V54" s="239"/>
      <c r="W54" s="239"/>
      <c r="X54" s="239"/>
    </row>
    <row r="55" spans="1:24">
      <c r="A55" s="86"/>
      <c r="B55" s="805"/>
      <c r="C55" s="136" t="s">
        <v>84</v>
      </c>
      <c r="D55" s="142"/>
      <c r="E55" s="419">
        <f>IF(E18="","",IFERROR(SUM(E$46,E49)*20%,""))</f>
        <v>0</v>
      </c>
      <c r="F55" s="419" t="str">
        <f t="shared" ref="F55:N55" si="12">IF(F18="","",IFERROR(SUM(F$46,F49)*20%,""))</f>
        <v/>
      </c>
      <c r="G55" s="419" t="str">
        <f t="shared" si="12"/>
        <v/>
      </c>
      <c r="H55" s="419" t="str">
        <f t="shared" si="12"/>
        <v/>
      </c>
      <c r="I55" s="419" t="str">
        <f t="shared" si="12"/>
        <v/>
      </c>
      <c r="J55" s="419" t="str">
        <f t="shared" si="12"/>
        <v/>
      </c>
      <c r="K55" s="419" t="str">
        <f t="shared" si="12"/>
        <v/>
      </c>
      <c r="L55" s="419" t="str">
        <f t="shared" si="12"/>
        <v/>
      </c>
      <c r="M55" s="419" t="str">
        <f t="shared" si="12"/>
        <v/>
      </c>
      <c r="N55" s="419" t="str">
        <f t="shared" si="12"/>
        <v/>
      </c>
      <c r="O55" s="419" t="str">
        <f t="shared" ref="O55:X55" si="13">IF(O18="","",IFERROR(SUM(O$46,O49)*20%,""))</f>
        <v/>
      </c>
      <c r="P55" s="419" t="str">
        <f t="shared" si="13"/>
        <v/>
      </c>
      <c r="Q55" s="419" t="str">
        <f t="shared" si="13"/>
        <v/>
      </c>
      <c r="R55" s="419" t="str">
        <f t="shared" si="13"/>
        <v/>
      </c>
      <c r="S55" s="419" t="str">
        <f t="shared" si="13"/>
        <v/>
      </c>
      <c r="T55" s="419" t="str">
        <f t="shared" si="13"/>
        <v/>
      </c>
      <c r="U55" s="419" t="str">
        <f t="shared" si="13"/>
        <v/>
      </c>
      <c r="V55" s="419" t="str">
        <f t="shared" si="13"/>
        <v/>
      </c>
      <c r="W55" s="419" t="str">
        <f t="shared" si="13"/>
        <v/>
      </c>
      <c r="X55" s="419" t="str">
        <f t="shared" si="13"/>
        <v/>
      </c>
    </row>
    <row r="56" spans="1:24">
      <c r="A56" s="86"/>
      <c r="B56" s="805"/>
      <c r="C56" s="162" t="s">
        <v>83</v>
      </c>
      <c r="D56" s="144" t="s">
        <v>323</v>
      </c>
      <c r="E56" s="420">
        <f t="shared" ref="E56:N56" si="14">IFERROR(IF(E18="","",IF(D56="Não",0,E53*20%)),"")</f>
        <v>23.5548</v>
      </c>
      <c r="F56" s="420" t="str">
        <f t="shared" si="14"/>
        <v/>
      </c>
      <c r="G56" s="420" t="str">
        <f t="shared" si="14"/>
        <v/>
      </c>
      <c r="H56" s="420" t="str">
        <f t="shared" si="14"/>
        <v/>
      </c>
      <c r="I56" s="420" t="str">
        <f t="shared" si="14"/>
        <v/>
      </c>
      <c r="J56" s="420" t="str">
        <f t="shared" si="14"/>
        <v/>
      </c>
      <c r="K56" s="420" t="str">
        <f t="shared" si="14"/>
        <v/>
      </c>
      <c r="L56" s="420" t="str">
        <f t="shared" si="14"/>
        <v/>
      </c>
      <c r="M56" s="420" t="str">
        <f t="shared" si="14"/>
        <v/>
      </c>
      <c r="N56" s="420" t="str">
        <f t="shared" si="14"/>
        <v/>
      </c>
      <c r="O56" s="420" t="str">
        <f t="shared" ref="O56" si="15">IFERROR(IF(O18="","",IF(N56="Não",0,O53*20%)),"")</f>
        <v/>
      </c>
      <c r="P56" s="420" t="str">
        <f t="shared" ref="P56" si="16">IFERROR(IF(P18="","",IF(O56="Não",0,P53*20%)),"")</f>
        <v/>
      </c>
      <c r="Q56" s="420" t="str">
        <f t="shared" ref="Q56" si="17">IFERROR(IF(Q18="","",IF(P56="Não",0,Q53*20%)),"")</f>
        <v/>
      </c>
      <c r="R56" s="420" t="str">
        <f t="shared" ref="R56" si="18">IFERROR(IF(R18="","",IF(Q56="Não",0,R53*20%)),"")</f>
        <v/>
      </c>
      <c r="S56" s="420" t="str">
        <f t="shared" ref="S56" si="19">IFERROR(IF(S18="","",IF(R56="Não",0,S53*20%)),"")</f>
        <v/>
      </c>
      <c r="T56" s="420" t="str">
        <f t="shared" ref="T56" si="20">IFERROR(IF(T18="","",IF(S56="Não",0,T53*20%)),"")</f>
        <v/>
      </c>
      <c r="U56" s="420" t="str">
        <f t="shared" ref="U56" si="21">IFERROR(IF(U18="","",IF(T56="Não",0,U53*20%)),"")</f>
        <v/>
      </c>
      <c r="V56" s="420" t="str">
        <f t="shared" ref="V56" si="22">IFERROR(IF(V18="","",IF(U56="Não",0,V53*20%)),"")</f>
        <v/>
      </c>
      <c r="W56" s="420" t="str">
        <f t="shared" ref="W56" si="23">IFERROR(IF(W18="","",IF(V56="Não",0,W53*20%)),"")</f>
        <v/>
      </c>
      <c r="X56" s="420" t="str">
        <f t="shared" ref="X56" si="24">IFERROR(IF(X18="","",IF(W56="Não",0,X53*20%)),"")</f>
        <v/>
      </c>
    </row>
    <row r="57" spans="1:24">
      <c r="A57" s="86"/>
      <c r="B57" s="805"/>
      <c r="C57" s="162" t="s">
        <v>138</v>
      </c>
      <c r="D57" s="144"/>
      <c r="E57" s="420">
        <f t="shared" ref="E57:N57" si="25">IF(E21="","",IFERROR(E$59*20%,""))</f>
        <v>0</v>
      </c>
      <c r="F57" s="420" t="str">
        <f t="shared" si="25"/>
        <v/>
      </c>
      <c r="G57" s="420" t="str">
        <f t="shared" si="25"/>
        <v/>
      </c>
      <c r="H57" s="420" t="str">
        <f t="shared" si="25"/>
        <v/>
      </c>
      <c r="I57" s="420" t="str">
        <f t="shared" si="25"/>
        <v/>
      </c>
      <c r="J57" s="420" t="str">
        <f t="shared" si="25"/>
        <v/>
      </c>
      <c r="K57" s="420" t="str">
        <f t="shared" si="25"/>
        <v/>
      </c>
      <c r="L57" s="420" t="str">
        <f t="shared" si="25"/>
        <v/>
      </c>
      <c r="M57" s="420" t="str">
        <f t="shared" si="25"/>
        <v/>
      </c>
      <c r="N57" s="420" t="str">
        <f t="shared" si="25"/>
        <v/>
      </c>
      <c r="O57" s="420" t="str">
        <f t="shared" ref="O57:X57" si="26">IF(O21="","",IFERROR(O$59*20%,""))</f>
        <v/>
      </c>
      <c r="P57" s="420" t="str">
        <f t="shared" si="26"/>
        <v/>
      </c>
      <c r="Q57" s="420" t="str">
        <f t="shared" si="26"/>
        <v/>
      </c>
      <c r="R57" s="420" t="str">
        <f t="shared" si="26"/>
        <v/>
      </c>
      <c r="S57" s="420" t="str">
        <f t="shared" si="26"/>
        <v/>
      </c>
      <c r="T57" s="420" t="str">
        <f t="shared" si="26"/>
        <v/>
      </c>
      <c r="U57" s="420" t="str">
        <f t="shared" si="26"/>
        <v/>
      </c>
      <c r="V57" s="420" t="str">
        <f t="shared" si="26"/>
        <v/>
      </c>
      <c r="W57" s="420" t="str">
        <f t="shared" si="26"/>
        <v/>
      </c>
      <c r="X57" s="420" t="str">
        <f t="shared" si="26"/>
        <v/>
      </c>
    </row>
    <row r="58" spans="1:24">
      <c r="A58" s="86"/>
      <c r="B58" s="806"/>
      <c r="C58" s="100"/>
      <c r="D58" s="94" t="s">
        <v>41</v>
      </c>
      <c r="E58" s="207">
        <f>IF(SUM(E55:E57)=0,"",SUM(E55:E57))</f>
        <v>23.5548</v>
      </c>
      <c r="F58" s="207" t="str">
        <f t="shared" ref="F58:H58" si="27">IF(SUM(F55:F57)=0,"",SUM(F55:F57))</f>
        <v/>
      </c>
      <c r="G58" s="207" t="str">
        <f t="shared" si="27"/>
        <v/>
      </c>
      <c r="H58" s="207" t="str">
        <f t="shared" si="27"/>
        <v/>
      </c>
      <c r="I58" s="207" t="str">
        <f t="shared" ref="I58:N58" si="28">IF(SUM(I55:I57)=0,"",SUM(I55:I57))</f>
        <v/>
      </c>
      <c r="J58" s="207" t="str">
        <f t="shared" si="28"/>
        <v/>
      </c>
      <c r="K58" s="207" t="str">
        <f t="shared" si="28"/>
        <v/>
      </c>
      <c r="L58" s="207" t="str">
        <f t="shared" si="28"/>
        <v/>
      </c>
      <c r="M58" s="207" t="str">
        <f t="shared" si="28"/>
        <v/>
      </c>
      <c r="N58" s="207" t="str">
        <f t="shared" si="28"/>
        <v/>
      </c>
      <c r="O58" s="207" t="str">
        <f t="shared" ref="O58:X58" si="29">IF(SUM(O55:O57)=0,"",SUM(O55:O57))</f>
        <v/>
      </c>
      <c r="P58" s="207" t="str">
        <f t="shared" si="29"/>
        <v/>
      </c>
      <c r="Q58" s="207" t="str">
        <f t="shared" si="29"/>
        <v/>
      </c>
      <c r="R58" s="207" t="str">
        <f t="shared" si="29"/>
        <v/>
      </c>
      <c r="S58" s="207" t="str">
        <f t="shared" si="29"/>
        <v/>
      </c>
      <c r="T58" s="207" t="str">
        <f t="shared" si="29"/>
        <v/>
      </c>
      <c r="U58" s="207" t="str">
        <f t="shared" si="29"/>
        <v/>
      </c>
      <c r="V58" s="207" t="str">
        <f t="shared" si="29"/>
        <v/>
      </c>
      <c r="W58" s="207" t="str">
        <f t="shared" si="29"/>
        <v/>
      </c>
      <c r="X58" s="207" t="str">
        <f t="shared" si="29"/>
        <v/>
      </c>
    </row>
    <row r="59" spans="1:24">
      <c r="A59" s="86"/>
      <c r="B59" s="131" t="s">
        <v>113</v>
      </c>
      <c r="C59" s="132" t="s">
        <v>137</v>
      </c>
      <c r="D59" s="98"/>
      <c r="E59" s="256">
        <f>IFERROR(IFERROR(VLOOKUP(E$18,'Apoio - Posto'!$A:$AA,12,FALSE),"")*VLOOKUP(E26,'Apoio - Regime de Trabalho'!$A:$I,7,FALSE),"")</f>
        <v>0</v>
      </c>
      <c r="F59" s="256" t="str">
        <f>IFERROR(IFERROR(VLOOKUP(F$18,'Apoio - Posto'!$A:$AA,12,FALSE),"")*VLOOKUP(F26,'Apoio - Regime de Trabalho'!$A:$I,7,FALSE),"")</f>
        <v/>
      </c>
      <c r="G59" s="256" t="str">
        <f>IFERROR(IFERROR(VLOOKUP(G$18,'Apoio - Posto'!$A:$AA,12,FALSE),"")*VLOOKUP(G26,'Apoio - Regime de Trabalho'!$A:$I,7,FALSE),"")</f>
        <v/>
      </c>
      <c r="H59" s="256" t="str">
        <f>IFERROR(IFERROR(VLOOKUP(H$18,'Apoio - Posto'!$A:$AA,12,FALSE),"")*VLOOKUP(H26,'Apoio - Regime de Trabalho'!$A:$I,7,FALSE),"")</f>
        <v/>
      </c>
      <c r="I59" s="256" t="str">
        <f>IFERROR(IFERROR(VLOOKUP(I$18,'Apoio - Posto'!$A:$AA,12,FALSE),"")*VLOOKUP(I26,'Apoio - Regime de Trabalho'!$A:$I,7,FALSE),"")</f>
        <v/>
      </c>
      <c r="J59" s="256" t="str">
        <f>IFERROR(IFERROR(VLOOKUP(J$18,'Apoio - Posto'!$A:$AA,12,FALSE),"")*VLOOKUP(J26,'Apoio - Regime de Trabalho'!$A:$I,7,FALSE),"")</f>
        <v/>
      </c>
      <c r="K59" s="256" t="str">
        <f>IFERROR(IFERROR(VLOOKUP(K$18,'Apoio - Posto'!$A:$AA,12,FALSE),"")*VLOOKUP(K26,'Apoio - Regime de Trabalho'!$A:$I,7,FALSE),"")</f>
        <v/>
      </c>
      <c r="L59" s="256" t="str">
        <f>IFERROR(IFERROR(VLOOKUP(L$18,'Apoio - Posto'!$A:$AA,12,FALSE),"")*VLOOKUP(L26,'Apoio - Regime de Trabalho'!$A:$I,7,FALSE),"")</f>
        <v/>
      </c>
      <c r="M59" s="256" t="str">
        <f>IFERROR(IFERROR(VLOOKUP(M$18,'Apoio - Posto'!$A:$AA,12,FALSE),"")*VLOOKUP(M26,'Apoio - Regime de Trabalho'!$A:$I,7,FALSE),"")</f>
        <v/>
      </c>
      <c r="N59" s="256" t="str">
        <f>IFERROR(IFERROR(VLOOKUP(N$18,'Apoio - Posto'!$A:$AA,12,FALSE),"")*VLOOKUP(N26,'Apoio - Regime de Trabalho'!$A:$I,7,FALSE),"")</f>
        <v/>
      </c>
      <c r="O59" s="256" t="str">
        <f>IFERROR(IFERROR(VLOOKUP(O$18,'Apoio - Posto'!$A:$AA,12,FALSE),"")*VLOOKUP(O26,'Apoio - Regime de Trabalho'!$A:$I,7,FALSE),"")</f>
        <v/>
      </c>
      <c r="P59" s="256" t="str">
        <f>IFERROR(IFERROR(VLOOKUP(P$18,'Apoio - Posto'!$A:$AA,12,FALSE),"")*VLOOKUP(P26,'Apoio - Regime de Trabalho'!$A:$I,7,FALSE),"")</f>
        <v/>
      </c>
      <c r="Q59" s="256" t="str">
        <f>IFERROR(IFERROR(VLOOKUP(Q$18,'Apoio - Posto'!$A:$AA,12,FALSE),"")*VLOOKUP(Q26,'Apoio - Regime de Trabalho'!$A:$I,7,FALSE),"")</f>
        <v/>
      </c>
      <c r="R59" s="256" t="str">
        <f>IFERROR(IFERROR(VLOOKUP(R$18,'Apoio - Posto'!$A:$AA,12,FALSE),"")*VLOOKUP(R26,'Apoio - Regime de Trabalho'!$A:$I,7,FALSE),"")</f>
        <v/>
      </c>
      <c r="S59" s="256" t="str">
        <f>IFERROR(IFERROR(VLOOKUP(S$18,'Apoio - Posto'!$A:$AA,12,FALSE),"")*VLOOKUP(S26,'Apoio - Regime de Trabalho'!$A:$I,7,FALSE),"")</f>
        <v/>
      </c>
      <c r="T59" s="256" t="str">
        <f>IFERROR(IFERROR(VLOOKUP(T$18,'Apoio - Posto'!$A:$AA,12,FALSE),"")*VLOOKUP(T26,'Apoio - Regime de Trabalho'!$A:$I,7,FALSE),"")</f>
        <v/>
      </c>
      <c r="U59" s="256" t="str">
        <f>IFERROR(IFERROR(VLOOKUP(U$18,'Apoio - Posto'!$A:$AA,12,FALSE),"")*VLOOKUP(U26,'Apoio - Regime de Trabalho'!$A:$I,7,FALSE),"")</f>
        <v/>
      </c>
      <c r="V59" s="256" t="str">
        <f>IFERROR(IFERROR(VLOOKUP(V$18,'Apoio - Posto'!$A:$AA,12,FALSE),"")*VLOOKUP(V26,'Apoio - Regime de Trabalho'!$A:$I,7,FALSE),"")</f>
        <v/>
      </c>
      <c r="W59" s="256" t="str">
        <f>IFERROR(IFERROR(VLOOKUP(W$18,'Apoio - Posto'!$A:$AA,12,FALSE),"")*VLOOKUP(W26,'Apoio - Regime de Trabalho'!$A:$I,7,FALSE),"")</f>
        <v/>
      </c>
      <c r="X59" s="256" t="str">
        <f>IFERROR(IFERROR(VLOOKUP(X$18,'Apoio - Posto'!$A:$AA,12,FALSE),"")*VLOOKUP(X26,'Apoio - Regime de Trabalho'!$A:$I,7,FALSE),"")</f>
        <v/>
      </c>
    </row>
    <row r="60" spans="1:24">
      <c r="A60" s="133"/>
      <c r="B60" s="134" t="s">
        <v>140</v>
      </c>
      <c r="C60" s="440" t="s">
        <v>173</v>
      </c>
      <c r="D60" s="441"/>
      <c r="E60" s="152"/>
      <c r="F60" s="152"/>
      <c r="G60" s="152"/>
      <c r="H60" s="152"/>
      <c r="I60" s="152"/>
      <c r="J60" s="152"/>
      <c r="K60" s="152"/>
      <c r="L60" s="152"/>
      <c r="M60" s="152"/>
      <c r="N60" s="152"/>
      <c r="O60" s="152"/>
      <c r="P60" s="152"/>
      <c r="Q60" s="152"/>
      <c r="R60" s="152"/>
      <c r="S60" s="152"/>
      <c r="T60" s="152"/>
      <c r="U60" s="152"/>
      <c r="V60" s="152"/>
      <c r="W60" s="152"/>
      <c r="X60" s="152"/>
    </row>
    <row r="61" spans="1:24" s="5" customFormat="1">
      <c r="A61" s="73"/>
      <c r="B61" s="157"/>
      <c r="C61" s="90" t="s">
        <v>304</v>
      </c>
      <c r="D61" s="153"/>
      <c r="E61" s="155">
        <f t="shared" ref="E61:N61" si="30">IF(E21="","",SUM(E32,E35,E39,E42,E46,E49,E53,E58,E59,E60))</f>
        <v>2300.5187999999998</v>
      </c>
      <c r="F61" s="156" t="str">
        <f t="shared" si="30"/>
        <v/>
      </c>
      <c r="G61" s="156" t="str">
        <f t="shared" si="30"/>
        <v/>
      </c>
      <c r="H61" s="154" t="str">
        <f t="shared" si="30"/>
        <v/>
      </c>
      <c r="I61" s="154" t="str">
        <f t="shared" si="30"/>
        <v/>
      </c>
      <c r="J61" s="154" t="str">
        <f t="shared" si="30"/>
        <v/>
      </c>
      <c r="K61" s="154" t="str">
        <f t="shared" si="30"/>
        <v/>
      </c>
      <c r="L61" s="154" t="str">
        <f t="shared" si="30"/>
        <v/>
      </c>
      <c r="M61" s="154" t="str">
        <f t="shared" si="30"/>
        <v/>
      </c>
      <c r="N61" s="154" t="str">
        <f t="shared" si="30"/>
        <v/>
      </c>
      <c r="O61" s="154" t="str">
        <f t="shared" ref="O61:X61" si="31">IF(O21="","",SUM(O32,O35,O39,O42,O46,O49,O53,O58,O59,O60))</f>
        <v/>
      </c>
      <c r="P61" s="154" t="str">
        <f t="shared" si="31"/>
        <v/>
      </c>
      <c r="Q61" s="154" t="str">
        <f t="shared" si="31"/>
        <v/>
      </c>
      <c r="R61" s="154" t="str">
        <f t="shared" si="31"/>
        <v/>
      </c>
      <c r="S61" s="154" t="str">
        <f t="shared" si="31"/>
        <v/>
      </c>
      <c r="T61" s="154" t="str">
        <f t="shared" si="31"/>
        <v/>
      </c>
      <c r="U61" s="154" t="str">
        <f t="shared" si="31"/>
        <v/>
      </c>
      <c r="V61" s="154" t="str">
        <f t="shared" si="31"/>
        <v/>
      </c>
      <c r="W61" s="154" t="str">
        <f t="shared" si="31"/>
        <v/>
      </c>
      <c r="X61" s="154" t="str">
        <f t="shared" si="31"/>
        <v/>
      </c>
    </row>
    <row r="62" spans="1:24" s="17" customFormat="1">
      <c r="A62" s="20"/>
      <c r="D62" s="14"/>
      <c r="E62" s="21"/>
      <c r="F62" s="21"/>
      <c r="G62" s="21"/>
      <c r="H62" s="21"/>
      <c r="I62" s="21"/>
      <c r="J62" s="21"/>
      <c r="K62" s="21"/>
      <c r="L62" s="21"/>
      <c r="M62" s="21"/>
      <c r="N62" s="21"/>
      <c r="O62" s="21"/>
      <c r="P62" s="21"/>
      <c r="Q62" s="21"/>
      <c r="R62" s="21"/>
      <c r="S62" s="21"/>
      <c r="T62" s="21"/>
      <c r="U62" s="21"/>
      <c r="V62" s="21"/>
      <c r="W62" s="21"/>
      <c r="X62" s="21"/>
    </row>
    <row r="63" spans="1:24" s="6" customFormat="1">
      <c r="A63" s="74"/>
      <c r="B63" s="89"/>
      <c r="C63" s="90" t="s">
        <v>124</v>
      </c>
      <c r="D63" s="91"/>
      <c r="E63" s="369"/>
      <c r="F63" s="369"/>
      <c r="G63" s="369"/>
      <c r="H63" s="369"/>
      <c r="I63" s="369"/>
      <c r="J63" s="369"/>
      <c r="K63" s="369"/>
      <c r="L63" s="369"/>
      <c r="M63" s="369"/>
      <c r="N63" s="369"/>
      <c r="O63" s="369"/>
      <c r="P63" s="369"/>
      <c r="Q63" s="369"/>
      <c r="R63" s="369"/>
      <c r="S63" s="369"/>
      <c r="T63" s="369"/>
      <c r="U63" s="369"/>
      <c r="V63" s="369"/>
      <c r="W63" s="369"/>
      <c r="X63" s="369"/>
    </row>
    <row r="64" spans="1:24" customFormat="1" ht="3.75" customHeight="1"/>
    <row r="65" spans="1:24" s="6" customFormat="1">
      <c r="A65" s="75"/>
      <c r="B65" s="171"/>
      <c r="C65" s="172" t="s">
        <v>125</v>
      </c>
      <c r="D65" s="173"/>
      <c r="E65" s="176"/>
      <c r="F65" s="176"/>
      <c r="G65" s="176"/>
      <c r="H65" s="174"/>
      <c r="I65" s="174"/>
      <c r="J65" s="174"/>
      <c r="K65" s="174"/>
      <c r="L65" s="174"/>
      <c r="M65" s="174"/>
      <c r="N65" s="174"/>
      <c r="O65" s="174"/>
      <c r="P65" s="174"/>
      <c r="Q65" s="174"/>
      <c r="R65" s="174"/>
      <c r="S65" s="174"/>
      <c r="T65" s="174"/>
      <c r="U65" s="174"/>
      <c r="V65" s="174"/>
      <c r="W65" s="174"/>
      <c r="X65" s="174"/>
    </row>
    <row r="66" spans="1:24">
      <c r="A66" s="74"/>
      <c r="B66" s="87" t="s">
        <v>2</v>
      </c>
      <c r="C66" s="391" t="s">
        <v>56</v>
      </c>
      <c r="D66" s="406">
        <f>IFERROR(INDEX('Apoio - Notas Explicativas'!Q:Q,MATCH(C66,'Apoio - Notas Explicativas'!C:C,0)),"")</f>
        <v>8.3299999999999999E-2</v>
      </c>
      <c r="E66" s="99">
        <f>IFERROR($D66*E$61,"")</f>
        <v>191.63321603999998</v>
      </c>
      <c r="F66" s="99" t="str">
        <f t="shared" ref="F66:U68" si="32">IFERROR($D66*F$61,"")</f>
        <v/>
      </c>
      <c r="G66" s="99" t="str">
        <f t="shared" si="32"/>
        <v/>
      </c>
      <c r="H66" s="99" t="str">
        <f t="shared" si="32"/>
        <v/>
      </c>
      <c r="I66" s="99" t="str">
        <f t="shared" si="32"/>
        <v/>
      </c>
      <c r="J66" s="99" t="str">
        <f t="shared" si="32"/>
        <v/>
      </c>
      <c r="K66" s="99" t="str">
        <f t="shared" si="32"/>
        <v/>
      </c>
      <c r="L66" s="99" t="str">
        <f t="shared" si="32"/>
        <v/>
      </c>
      <c r="M66" s="99" t="str">
        <f t="shared" si="32"/>
        <v/>
      </c>
      <c r="N66" s="99" t="str">
        <f t="shared" si="32"/>
        <v/>
      </c>
      <c r="O66" s="99" t="str">
        <f t="shared" si="32"/>
        <v/>
      </c>
      <c r="P66" s="99" t="str">
        <f t="shared" si="32"/>
        <v/>
      </c>
      <c r="Q66" s="99" t="str">
        <f t="shared" si="32"/>
        <v/>
      </c>
      <c r="R66" s="99" t="str">
        <f t="shared" si="32"/>
        <v/>
      </c>
      <c r="S66" s="99" t="str">
        <f t="shared" si="32"/>
        <v/>
      </c>
      <c r="T66" s="99" t="str">
        <f t="shared" si="32"/>
        <v/>
      </c>
      <c r="U66" s="99" t="str">
        <f t="shared" si="32"/>
        <v/>
      </c>
      <c r="V66" s="99" t="str">
        <f t="shared" ref="O66:X68" si="33">IFERROR($D66*V$61,"")</f>
        <v/>
      </c>
      <c r="W66" s="99" t="str">
        <f t="shared" si="33"/>
        <v/>
      </c>
      <c r="X66" s="99" t="str">
        <f t="shared" si="33"/>
        <v/>
      </c>
    </row>
    <row r="67" spans="1:24">
      <c r="A67" s="74"/>
      <c r="B67" s="87" t="s">
        <v>1</v>
      </c>
      <c r="C67" s="391" t="s">
        <v>21</v>
      </c>
      <c r="D67" s="406">
        <f>IFERROR(INDEX('Apoio - Notas Explicativas'!Q:Q,MATCH(C67,'Apoio - Notas Explicativas'!C:C,0)),"")</f>
        <v>0.1111</v>
      </c>
      <c r="E67" s="99">
        <f>IFERROR($D67*E$61,"")</f>
        <v>255.58763868</v>
      </c>
      <c r="F67" s="99" t="str">
        <f t="shared" si="32"/>
        <v/>
      </c>
      <c r="G67" s="99" t="str">
        <f t="shared" si="32"/>
        <v/>
      </c>
      <c r="H67" s="99" t="str">
        <f t="shared" si="32"/>
        <v/>
      </c>
      <c r="I67" s="99" t="str">
        <f t="shared" si="32"/>
        <v/>
      </c>
      <c r="J67" s="99" t="str">
        <f t="shared" si="32"/>
        <v/>
      </c>
      <c r="K67" s="99" t="str">
        <f t="shared" si="32"/>
        <v/>
      </c>
      <c r="L67" s="99" t="str">
        <f t="shared" si="32"/>
        <v/>
      </c>
      <c r="M67" s="99" t="str">
        <f t="shared" si="32"/>
        <v/>
      </c>
      <c r="N67" s="99" t="str">
        <f t="shared" si="32"/>
        <v/>
      </c>
      <c r="O67" s="99" t="str">
        <f t="shared" si="33"/>
        <v/>
      </c>
      <c r="P67" s="99" t="str">
        <f t="shared" si="33"/>
        <v/>
      </c>
      <c r="Q67" s="99" t="str">
        <f t="shared" si="33"/>
        <v/>
      </c>
      <c r="R67" s="99" t="str">
        <f t="shared" si="33"/>
        <v/>
      </c>
      <c r="S67" s="99" t="str">
        <f t="shared" si="33"/>
        <v/>
      </c>
      <c r="T67" s="99" t="str">
        <f t="shared" si="33"/>
        <v/>
      </c>
      <c r="U67" s="99" t="str">
        <f t="shared" si="33"/>
        <v/>
      </c>
      <c r="V67" s="99" t="str">
        <f t="shared" si="33"/>
        <v/>
      </c>
      <c r="W67" s="99" t="str">
        <f t="shared" si="33"/>
        <v/>
      </c>
      <c r="X67" s="99" t="str">
        <f t="shared" si="33"/>
        <v/>
      </c>
    </row>
    <row r="68" spans="1:24">
      <c r="A68" s="74"/>
      <c r="B68" s="87" t="s">
        <v>0</v>
      </c>
      <c r="C68" s="653" t="s">
        <v>80</v>
      </c>
      <c r="D68" s="406">
        <f>IFERROR(INDEX('Apoio - Notas Explicativas'!Q:Q,MATCH(C68,'Apoio - Notas Explicativas'!C:C,0)),"")</f>
        <v>7.1599999999999997E-2</v>
      </c>
      <c r="E68" s="99">
        <f>IFERROR($D68*E$61,"")</f>
        <v>164.71714607999999</v>
      </c>
      <c r="F68" s="99" t="str">
        <f t="shared" si="32"/>
        <v/>
      </c>
      <c r="G68" s="99" t="str">
        <f t="shared" si="32"/>
        <v/>
      </c>
      <c r="H68" s="99" t="str">
        <f t="shared" si="32"/>
        <v/>
      </c>
      <c r="I68" s="99" t="str">
        <f t="shared" si="32"/>
        <v/>
      </c>
      <c r="J68" s="99" t="str">
        <f t="shared" si="32"/>
        <v/>
      </c>
      <c r="K68" s="99" t="str">
        <f t="shared" si="32"/>
        <v/>
      </c>
      <c r="L68" s="99" t="str">
        <f t="shared" si="32"/>
        <v/>
      </c>
      <c r="M68" s="99" t="str">
        <f t="shared" si="32"/>
        <v/>
      </c>
      <c r="N68" s="99" t="str">
        <f t="shared" si="32"/>
        <v/>
      </c>
      <c r="O68" s="99" t="str">
        <f t="shared" si="33"/>
        <v/>
      </c>
      <c r="P68" s="99" t="str">
        <f t="shared" si="33"/>
        <v/>
      </c>
      <c r="Q68" s="99" t="str">
        <f t="shared" si="33"/>
        <v/>
      </c>
      <c r="R68" s="99" t="str">
        <f t="shared" si="33"/>
        <v/>
      </c>
      <c r="S68" s="99" t="str">
        <f t="shared" si="33"/>
        <v/>
      </c>
      <c r="T68" s="99" t="str">
        <f t="shared" si="33"/>
        <v/>
      </c>
      <c r="U68" s="99" t="str">
        <f t="shared" si="33"/>
        <v/>
      </c>
      <c r="V68" s="99" t="str">
        <f t="shared" si="33"/>
        <v/>
      </c>
      <c r="W68" s="99" t="str">
        <f t="shared" si="33"/>
        <v/>
      </c>
      <c r="X68" s="99" t="str">
        <f t="shared" si="33"/>
        <v/>
      </c>
    </row>
    <row r="69" spans="1:24" s="5" customFormat="1">
      <c r="A69" s="76"/>
      <c r="B69" s="171"/>
      <c r="C69" s="172" t="s">
        <v>119</v>
      </c>
      <c r="D69" s="175"/>
      <c r="E69" s="176">
        <f>IF(SUM(E66:E68)=0,"",SUM(E66:E68))</f>
        <v>611.93800079999994</v>
      </c>
      <c r="F69" s="176" t="str">
        <f t="shared" ref="F69:H69" si="34">IF(SUM(F66:F68)=0,"",SUM(F66:F68))</f>
        <v/>
      </c>
      <c r="G69" s="174" t="str">
        <f t="shared" si="34"/>
        <v/>
      </c>
      <c r="H69" s="176" t="str">
        <f t="shared" si="34"/>
        <v/>
      </c>
      <c r="I69" s="176" t="str">
        <f t="shared" ref="I69:N69" si="35">IF(SUM(I66:I68)=0,"",SUM(I66:I68))</f>
        <v/>
      </c>
      <c r="J69" s="176" t="str">
        <f t="shared" si="35"/>
        <v/>
      </c>
      <c r="K69" s="176" t="str">
        <f t="shared" si="35"/>
        <v/>
      </c>
      <c r="L69" s="176" t="str">
        <f t="shared" si="35"/>
        <v/>
      </c>
      <c r="M69" s="176" t="str">
        <f t="shared" si="35"/>
        <v/>
      </c>
      <c r="N69" s="176" t="str">
        <f t="shared" si="35"/>
        <v/>
      </c>
      <c r="O69" s="176" t="str">
        <f t="shared" ref="O69:X69" si="36">IF(SUM(O66:O68)=0,"",SUM(O66:O68))</f>
        <v/>
      </c>
      <c r="P69" s="176" t="str">
        <f t="shared" si="36"/>
        <v/>
      </c>
      <c r="Q69" s="176" t="str">
        <f t="shared" si="36"/>
        <v/>
      </c>
      <c r="R69" s="176" t="str">
        <f t="shared" si="36"/>
        <v/>
      </c>
      <c r="S69" s="176" t="str">
        <f t="shared" si="36"/>
        <v/>
      </c>
      <c r="T69" s="176" t="str">
        <f t="shared" si="36"/>
        <v/>
      </c>
      <c r="U69" s="176" t="str">
        <f t="shared" si="36"/>
        <v/>
      </c>
      <c r="V69" s="176" t="str">
        <f t="shared" si="36"/>
        <v/>
      </c>
      <c r="W69" s="176" t="str">
        <f t="shared" si="36"/>
        <v/>
      </c>
      <c r="X69" s="176" t="str">
        <f t="shared" si="36"/>
        <v/>
      </c>
    </row>
    <row r="70" spans="1:24" customFormat="1" ht="3.75" customHeight="1"/>
    <row r="71" spans="1:24" s="6" customFormat="1">
      <c r="A71" s="76"/>
      <c r="B71" s="171"/>
      <c r="C71" s="172" t="s">
        <v>155</v>
      </c>
      <c r="D71" s="173"/>
      <c r="E71" s="176"/>
      <c r="F71" s="174"/>
      <c r="G71" s="174"/>
      <c r="H71" s="176"/>
      <c r="I71" s="176"/>
      <c r="J71" s="176"/>
      <c r="K71" s="176"/>
      <c r="L71" s="176"/>
      <c r="M71" s="176"/>
      <c r="N71" s="176"/>
      <c r="O71" s="176"/>
      <c r="P71" s="176"/>
      <c r="Q71" s="176"/>
      <c r="R71" s="176"/>
      <c r="S71" s="176"/>
      <c r="T71" s="176"/>
      <c r="U71" s="176"/>
      <c r="V71" s="176"/>
      <c r="W71" s="176"/>
      <c r="X71" s="176"/>
    </row>
    <row r="72" spans="1:24">
      <c r="A72" s="76"/>
      <c r="B72" s="87" t="s">
        <v>2</v>
      </c>
      <c r="C72" s="391" t="s">
        <v>49</v>
      </c>
      <c r="D72" s="406">
        <f>IFERROR(INDEX('Apoio - Notas Explicativas'!Q:Q,MATCH(C72,'Apoio - Notas Explicativas'!C:C,0)),"")</f>
        <v>0.2</v>
      </c>
      <c r="E72" s="99">
        <f t="shared" ref="E72:T77" si="37">IFERROR($D72*E$61,"")</f>
        <v>460.10375999999997</v>
      </c>
      <c r="F72" s="137" t="str">
        <f t="shared" si="37"/>
        <v/>
      </c>
      <c r="G72" s="137" t="str">
        <f t="shared" si="37"/>
        <v/>
      </c>
      <c r="H72" s="99" t="str">
        <f t="shared" si="37"/>
        <v/>
      </c>
      <c r="I72" s="99" t="str">
        <f t="shared" si="37"/>
        <v/>
      </c>
      <c r="J72" s="99" t="str">
        <f t="shared" si="37"/>
        <v/>
      </c>
      <c r="K72" s="99" t="str">
        <f t="shared" si="37"/>
        <v/>
      </c>
      <c r="L72" s="99" t="str">
        <f t="shared" si="37"/>
        <v/>
      </c>
      <c r="M72" s="99" t="str">
        <f t="shared" si="37"/>
        <v/>
      </c>
      <c r="N72" s="99" t="str">
        <f t="shared" si="37"/>
        <v/>
      </c>
      <c r="O72" s="99" t="str">
        <f t="shared" si="37"/>
        <v/>
      </c>
      <c r="P72" s="99" t="str">
        <f t="shared" si="37"/>
        <v/>
      </c>
      <c r="Q72" s="99" t="str">
        <f t="shared" si="37"/>
        <v/>
      </c>
      <c r="R72" s="99" t="str">
        <f t="shared" si="37"/>
        <v/>
      </c>
      <c r="S72" s="99" t="str">
        <f t="shared" si="37"/>
        <v/>
      </c>
      <c r="T72" s="99" t="str">
        <f t="shared" si="37"/>
        <v/>
      </c>
      <c r="U72" s="99" t="str">
        <f t="shared" ref="O72:X77" si="38">IFERROR($D72*U$61,"")</f>
        <v/>
      </c>
      <c r="V72" s="99" t="str">
        <f t="shared" si="38"/>
        <v/>
      </c>
      <c r="W72" s="99" t="str">
        <f t="shared" si="38"/>
        <v/>
      </c>
      <c r="X72" s="99" t="str">
        <f t="shared" si="38"/>
        <v/>
      </c>
    </row>
    <row r="73" spans="1:24">
      <c r="A73" s="74"/>
      <c r="B73" s="87" t="s">
        <v>1</v>
      </c>
      <c r="C73" s="654" t="s">
        <v>50</v>
      </c>
      <c r="D73" s="406">
        <f>IFERROR(INDEX('Apoio - Notas Explicativas'!Q:Q,MATCH(C73,'Apoio - Notas Explicativas'!C:C,0)),"")</f>
        <v>1.4999999999999999E-2</v>
      </c>
      <c r="E73" s="99">
        <f t="shared" si="37"/>
        <v>34.507781999999999</v>
      </c>
      <c r="F73" s="137" t="str">
        <f t="shared" si="37"/>
        <v/>
      </c>
      <c r="G73" s="137" t="str">
        <f t="shared" si="37"/>
        <v/>
      </c>
      <c r="H73" s="99" t="str">
        <f t="shared" si="37"/>
        <v/>
      </c>
      <c r="I73" s="99" t="str">
        <f t="shared" si="37"/>
        <v/>
      </c>
      <c r="J73" s="99" t="str">
        <f t="shared" si="37"/>
        <v/>
      </c>
      <c r="K73" s="99" t="str">
        <f t="shared" si="37"/>
        <v/>
      </c>
      <c r="L73" s="99" t="str">
        <f t="shared" si="37"/>
        <v/>
      </c>
      <c r="M73" s="99" t="str">
        <f t="shared" si="37"/>
        <v/>
      </c>
      <c r="N73" s="99" t="str">
        <f t="shared" si="37"/>
        <v/>
      </c>
      <c r="O73" s="99" t="str">
        <f t="shared" si="38"/>
        <v/>
      </c>
      <c r="P73" s="99" t="str">
        <f t="shared" si="38"/>
        <v/>
      </c>
      <c r="Q73" s="99" t="str">
        <f t="shared" si="38"/>
        <v/>
      </c>
      <c r="R73" s="99" t="str">
        <f t="shared" si="38"/>
        <v/>
      </c>
      <c r="S73" s="99" t="str">
        <f t="shared" si="38"/>
        <v/>
      </c>
      <c r="T73" s="99" t="str">
        <f t="shared" si="38"/>
        <v/>
      </c>
      <c r="U73" s="99" t="str">
        <f t="shared" si="38"/>
        <v/>
      </c>
      <c r="V73" s="99" t="str">
        <f t="shared" si="38"/>
        <v/>
      </c>
      <c r="W73" s="99" t="str">
        <f t="shared" si="38"/>
        <v/>
      </c>
      <c r="X73" s="99" t="str">
        <f t="shared" si="38"/>
        <v/>
      </c>
    </row>
    <row r="74" spans="1:24">
      <c r="A74" s="74"/>
      <c r="B74" s="87" t="s">
        <v>0</v>
      </c>
      <c r="C74" s="391" t="s">
        <v>51</v>
      </c>
      <c r="D74" s="406">
        <f>IFERROR(INDEX('Apoio - Notas Explicativas'!Q:Q,MATCH(C74,'Apoio - Notas Explicativas'!C:C,0)),"")</f>
        <v>0.01</v>
      </c>
      <c r="E74" s="99">
        <f t="shared" si="37"/>
        <v>23.005188</v>
      </c>
      <c r="F74" s="137" t="str">
        <f t="shared" si="37"/>
        <v/>
      </c>
      <c r="G74" s="137" t="str">
        <f t="shared" si="37"/>
        <v/>
      </c>
      <c r="H74" s="99" t="str">
        <f t="shared" si="37"/>
        <v/>
      </c>
      <c r="I74" s="99" t="str">
        <f t="shared" si="37"/>
        <v/>
      </c>
      <c r="J74" s="99" t="str">
        <f t="shared" si="37"/>
        <v/>
      </c>
      <c r="K74" s="99" t="str">
        <f t="shared" si="37"/>
        <v/>
      </c>
      <c r="L74" s="99" t="str">
        <f t="shared" si="37"/>
        <v/>
      </c>
      <c r="M74" s="99" t="str">
        <f t="shared" si="37"/>
        <v/>
      </c>
      <c r="N74" s="99" t="str">
        <f t="shared" si="37"/>
        <v/>
      </c>
      <c r="O74" s="99" t="str">
        <f t="shared" si="38"/>
        <v/>
      </c>
      <c r="P74" s="99" t="str">
        <f t="shared" si="38"/>
        <v/>
      </c>
      <c r="Q74" s="99" t="str">
        <f t="shared" si="38"/>
        <v/>
      </c>
      <c r="R74" s="99" t="str">
        <f t="shared" si="38"/>
        <v/>
      </c>
      <c r="S74" s="99" t="str">
        <f t="shared" si="38"/>
        <v/>
      </c>
      <c r="T74" s="99" t="str">
        <f t="shared" si="38"/>
        <v/>
      </c>
      <c r="U74" s="99" t="str">
        <f t="shared" si="38"/>
        <v/>
      </c>
      <c r="V74" s="99" t="str">
        <f t="shared" si="38"/>
        <v/>
      </c>
      <c r="W74" s="99" t="str">
        <f t="shared" si="38"/>
        <v/>
      </c>
      <c r="X74" s="99" t="str">
        <f t="shared" si="38"/>
        <v/>
      </c>
    </row>
    <row r="75" spans="1:24">
      <c r="A75" s="74"/>
      <c r="B75" s="87" t="s">
        <v>3</v>
      </c>
      <c r="C75" s="391" t="s">
        <v>52</v>
      </c>
      <c r="D75" s="406">
        <f>IFERROR(INDEX('Apoio - Notas Explicativas'!Q:Q,MATCH(C75,'Apoio - Notas Explicativas'!C:C,0)),"")</f>
        <v>2E-3</v>
      </c>
      <c r="E75" s="99">
        <f t="shared" si="37"/>
        <v>4.6010375999999997</v>
      </c>
      <c r="F75" s="137" t="str">
        <f t="shared" si="37"/>
        <v/>
      </c>
      <c r="G75" s="137" t="str">
        <f t="shared" si="37"/>
        <v/>
      </c>
      <c r="H75" s="99" t="str">
        <f t="shared" si="37"/>
        <v/>
      </c>
      <c r="I75" s="99" t="str">
        <f t="shared" si="37"/>
        <v/>
      </c>
      <c r="J75" s="99" t="str">
        <f t="shared" si="37"/>
        <v/>
      </c>
      <c r="K75" s="99" t="str">
        <f t="shared" si="37"/>
        <v/>
      </c>
      <c r="L75" s="99" t="str">
        <f t="shared" si="37"/>
        <v/>
      </c>
      <c r="M75" s="99" t="str">
        <f t="shared" si="37"/>
        <v/>
      </c>
      <c r="N75" s="99" t="str">
        <f t="shared" si="37"/>
        <v/>
      </c>
      <c r="O75" s="99" t="str">
        <f t="shared" si="38"/>
        <v/>
      </c>
      <c r="P75" s="99" t="str">
        <f t="shared" si="38"/>
        <v/>
      </c>
      <c r="Q75" s="99" t="str">
        <f t="shared" si="38"/>
        <v/>
      </c>
      <c r="R75" s="99" t="str">
        <f t="shared" si="38"/>
        <v/>
      </c>
      <c r="S75" s="99" t="str">
        <f t="shared" si="38"/>
        <v/>
      </c>
      <c r="T75" s="99" t="str">
        <f t="shared" si="38"/>
        <v/>
      </c>
      <c r="U75" s="99" t="str">
        <f t="shared" si="38"/>
        <v/>
      </c>
      <c r="V75" s="99" t="str">
        <f t="shared" si="38"/>
        <v/>
      </c>
      <c r="W75" s="99" t="str">
        <f t="shared" si="38"/>
        <v/>
      </c>
      <c r="X75" s="99" t="str">
        <f t="shared" si="38"/>
        <v/>
      </c>
    </row>
    <row r="76" spans="1:24">
      <c r="A76" s="74"/>
      <c r="B76" s="87" t="s">
        <v>7</v>
      </c>
      <c r="C76" s="391" t="s">
        <v>53</v>
      </c>
      <c r="D76" s="406">
        <f>IFERROR(INDEX('Apoio - Notas Explicativas'!Q:Q,MATCH(C76,'Apoio - Notas Explicativas'!C:C,0)),"")</f>
        <v>2.5000000000000001E-2</v>
      </c>
      <c r="E76" s="99">
        <f t="shared" si="37"/>
        <v>57.512969999999996</v>
      </c>
      <c r="F76" s="137" t="str">
        <f t="shared" si="37"/>
        <v/>
      </c>
      <c r="G76" s="137" t="str">
        <f t="shared" si="37"/>
        <v/>
      </c>
      <c r="H76" s="99" t="str">
        <f t="shared" si="37"/>
        <v/>
      </c>
      <c r="I76" s="99" t="str">
        <f t="shared" si="37"/>
        <v/>
      </c>
      <c r="J76" s="99" t="str">
        <f t="shared" si="37"/>
        <v/>
      </c>
      <c r="K76" s="99" t="str">
        <f t="shared" si="37"/>
        <v/>
      </c>
      <c r="L76" s="99" t="str">
        <f t="shared" si="37"/>
        <v/>
      </c>
      <c r="M76" s="99" t="str">
        <f t="shared" si="37"/>
        <v/>
      </c>
      <c r="N76" s="99" t="str">
        <f t="shared" si="37"/>
        <v/>
      </c>
      <c r="O76" s="99" t="str">
        <f t="shared" si="38"/>
        <v/>
      </c>
      <c r="P76" s="99" t="str">
        <f t="shared" si="38"/>
        <v/>
      </c>
      <c r="Q76" s="99" t="str">
        <f t="shared" si="38"/>
        <v/>
      </c>
      <c r="R76" s="99" t="str">
        <f t="shared" si="38"/>
        <v/>
      </c>
      <c r="S76" s="99" t="str">
        <f t="shared" si="38"/>
        <v/>
      </c>
      <c r="T76" s="99" t="str">
        <f t="shared" si="38"/>
        <v/>
      </c>
      <c r="U76" s="99" t="str">
        <f t="shared" si="38"/>
        <v/>
      </c>
      <c r="V76" s="99" t="str">
        <f t="shared" si="38"/>
        <v/>
      </c>
      <c r="W76" s="99" t="str">
        <f t="shared" si="38"/>
        <v/>
      </c>
      <c r="X76" s="99" t="str">
        <f t="shared" si="38"/>
        <v/>
      </c>
    </row>
    <row r="77" spans="1:24">
      <c r="A77" s="74"/>
      <c r="B77" s="87" t="s">
        <v>6</v>
      </c>
      <c r="C77" s="391" t="s">
        <v>54</v>
      </c>
      <c r="D77" s="406">
        <f>IFERROR(INDEX('Apoio - Notas Explicativas'!Q:Q,MATCH(C77,'Apoio - Notas Explicativas'!C:C,0)),"")</f>
        <v>0.08</v>
      </c>
      <c r="E77" s="99">
        <f t="shared" si="37"/>
        <v>184.041504</v>
      </c>
      <c r="F77" s="137" t="str">
        <f t="shared" si="37"/>
        <v/>
      </c>
      <c r="G77" s="137" t="str">
        <f t="shared" si="37"/>
        <v/>
      </c>
      <c r="H77" s="99" t="str">
        <f t="shared" si="37"/>
        <v/>
      </c>
      <c r="I77" s="99" t="str">
        <f t="shared" si="37"/>
        <v/>
      </c>
      <c r="J77" s="99" t="str">
        <f t="shared" si="37"/>
        <v/>
      </c>
      <c r="K77" s="99" t="str">
        <f t="shared" si="37"/>
        <v/>
      </c>
      <c r="L77" s="99" t="str">
        <f t="shared" si="37"/>
        <v/>
      </c>
      <c r="M77" s="99" t="str">
        <f t="shared" si="37"/>
        <v/>
      </c>
      <c r="N77" s="99" t="str">
        <f t="shared" si="37"/>
        <v/>
      </c>
      <c r="O77" s="99" t="str">
        <f t="shared" si="38"/>
        <v/>
      </c>
      <c r="P77" s="99" t="str">
        <f t="shared" si="38"/>
        <v/>
      </c>
      <c r="Q77" s="99" t="str">
        <f t="shared" si="38"/>
        <v/>
      </c>
      <c r="R77" s="99" t="str">
        <f t="shared" si="38"/>
        <v/>
      </c>
      <c r="S77" s="99" t="str">
        <f t="shared" si="38"/>
        <v/>
      </c>
      <c r="T77" s="99" t="str">
        <f t="shared" si="38"/>
        <v/>
      </c>
      <c r="U77" s="99" t="str">
        <f t="shared" si="38"/>
        <v/>
      </c>
      <c r="V77" s="99" t="str">
        <f t="shared" si="38"/>
        <v/>
      </c>
      <c r="W77" s="99" t="str">
        <f t="shared" si="38"/>
        <v/>
      </c>
      <c r="X77" s="99" t="str">
        <f t="shared" si="38"/>
        <v/>
      </c>
    </row>
    <row r="78" spans="1:24">
      <c r="A78" s="74"/>
      <c r="B78" s="798" t="s">
        <v>5</v>
      </c>
      <c r="C78" s="655" t="str">
        <f>CONCATENATE("GILL/RAT (RAT ",D79," x FAP ",D80,")")</f>
        <v>GILL/RAT (RAT 0,03 x FAP 1)</v>
      </c>
      <c r="D78" s="656"/>
      <c r="E78" s="238"/>
      <c r="F78" s="421"/>
      <c r="G78" s="421"/>
      <c r="H78" s="238"/>
      <c r="I78" s="238"/>
      <c r="J78" s="238"/>
      <c r="K78" s="238"/>
      <c r="L78" s="238"/>
      <c r="M78" s="238"/>
      <c r="N78" s="238"/>
      <c r="O78" s="238"/>
      <c r="P78" s="238"/>
      <c r="Q78" s="238"/>
      <c r="R78" s="238"/>
      <c r="S78" s="238"/>
      <c r="T78" s="238"/>
      <c r="U78" s="238"/>
      <c r="V78" s="238"/>
      <c r="W78" s="238"/>
      <c r="X78" s="238"/>
    </row>
    <row r="79" spans="1:24">
      <c r="A79" s="74"/>
      <c r="B79" s="799"/>
      <c r="C79" s="657" t="s">
        <v>47</v>
      </c>
      <c r="D79" s="167">
        <f>VLOOKUP(C79,'Apoio - Notas Explicativas'!$C:$Q,14,FALSE)</f>
        <v>0.03</v>
      </c>
      <c r="E79" s="422"/>
      <c r="F79" s="422"/>
      <c r="G79" s="422"/>
      <c r="H79" s="454"/>
      <c r="I79" s="454"/>
      <c r="J79" s="454"/>
      <c r="K79" s="454"/>
      <c r="L79" s="454"/>
      <c r="M79" s="454"/>
      <c r="N79" s="454"/>
      <c r="O79" s="454"/>
      <c r="P79" s="454"/>
      <c r="Q79" s="454"/>
      <c r="R79" s="454"/>
      <c r="S79" s="454"/>
      <c r="T79" s="454"/>
      <c r="U79" s="454"/>
      <c r="V79" s="454"/>
      <c r="W79" s="454"/>
      <c r="X79" s="454"/>
    </row>
    <row r="80" spans="1:24">
      <c r="A80" s="74"/>
      <c r="B80" s="807"/>
      <c r="C80" s="658" t="s">
        <v>42</v>
      </c>
      <c r="D80" s="300">
        <f>VLOOKUP(C80,'Apoio - Notas Explicativas'!$C:$Q,14,FALSE)</f>
        <v>1</v>
      </c>
      <c r="E80" s="423"/>
      <c r="F80" s="423"/>
      <c r="G80" s="423"/>
      <c r="H80" s="423"/>
      <c r="I80" s="423"/>
      <c r="J80" s="423"/>
      <c r="K80" s="423"/>
      <c r="L80" s="423"/>
      <c r="M80" s="423"/>
      <c r="N80" s="423"/>
      <c r="O80" s="423"/>
      <c r="P80" s="423"/>
      <c r="Q80" s="423"/>
      <c r="R80" s="423"/>
      <c r="S80" s="423"/>
      <c r="T80" s="423"/>
      <c r="U80" s="423"/>
      <c r="V80" s="423"/>
      <c r="W80" s="423"/>
      <c r="X80" s="423"/>
    </row>
    <row r="81" spans="1:24">
      <c r="A81" s="74"/>
      <c r="B81" s="800"/>
      <c r="C81" s="391"/>
      <c r="D81" s="659">
        <f>D80*D79</f>
        <v>0.03</v>
      </c>
      <c r="E81" s="169">
        <f>IFERROR($D81*E$61,"")</f>
        <v>69.015563999999998</v>
      </c>
      <c r="F81" s="169" t="str">
        <f t="shared" ref="F81:U82" si="39">IFERROR($D81*F$61,"")</f>
        <v/>
      </c>
      <c r="G81" s="169" t="str">
        <f t="shared" si="39"/>
        <v/>
      </c>
      <c r="H81" s="169" t="str">
        <f t="shared" si="39"/>
        <v/>
      </c>
      <c r="I81" s="169" t="str">
        <f t="shared" si="39"/>
        <v/>
      </c>
      <c r="J81" s="169" t="str">
        <f t="shared" si="39"/>
        <v/>
      </c>
      <c r="K81" s="169" t="str">
        <f t="shared" si="39"/>
        <v/>
      </c>
      <c r="L81" s="169" t="str">
        <f t="shared" si="39"/>
        <v/>
      </c>
      <c r="M81" s="169" t="str">
        <f t="shared" si="39"/>
        <v/>
      </c>
      <c r="N81" s="169" t="str">
        <f t="shared" si="39"/>
        <v/>
      </c>
      <c r="O81" s="169" t="str">
        <f t="shared" si="39"/>
        <v/>
      </c>
      <c r="P81" s="169" t="str">
        <f t="shared" si="39"/>
        <v/>
      </c>
      <c r="Q81" s="169" t="str">
        <f t="shared" si="39"/>
        <v/>
      </c>
      <c r="R81" s="169" t="str">
        <f t="shared" si="39"/>
        <v/>
      </c>
      <c r="S81" s="169" t="str">
        <f t="shared" si="39"/>
        <v/>
      </c>
      <c r="T81" s="169" t="str">
        <f t="shared" si="39"/>
        <v/>
      </c>
      <c r="U81" s="169" t="str">
        <f t="shared" si="39"/>
        <v/>
      </c>
      <c r="V81" s="169" t="str">
        <f t="shared" ref="O81:X82" si="40">IFERROR($D81*V$61,"")</f>
        <v/>
      </c>
      <c r="W81" s="169" t="str">
        <f t="shared" si="40"/>
        <v/>
      </c>
      <c r="X81" s="169" t="str">
        <f t="shared" si="40"/>
        <v/>
      </c>
    </row>
    <row r="82" spans="1:24">
      <c r="A82" s="76"/>
      <c r="B82" s="87" t="s">
        <v>4</v>
      </c>
      <c r="C82" s="391" t="s">
        <v>55</v>
      </c>
      <c r="D82" s="406">
        <f>IFERROR(INDEX('Apoio - Notas Explicativas'!Q:Q,MATCH(C82,'Apoio - Notas Explicativas'!C:C,0)),"")</f>
        <v>6.0000000000000001E-3</v>
      </c>
      <c r="E82" s="137">
        <f>IFERROR($D82*E$61,"")</f>
        <v>13.803112799999999</v>
      </c>
      <c r="F82" s="137" t="str">
        <f t="shared" si="39"/>
        <v/>
      </c>
      <c r="G82" s="137" t="str">
        <f t="shared" si="39"/>
        <v/>
      </c>
      <c r="H82" s="137" t="str">
        <f t="shared" si="39"/>
        <v/>
      </c>
      <c r="I82" s="137" t="str">
        <f t="shared" si="39"/>
        <v/>
      </c>
      <c r="J82" s="137" t="str">
        <f t="shared" si="39"/>
        <v/>
      </c>
      <c r="K82" s="137" t="str">
        <f t="shared" si="39"/>
        <v/>
      </c>
      <c r="L82" s="137" t="str">
        <f t="shared" si="39"/>
        <v/>
      </c>
      <c r="M82" s="137" t="str">
        <f t="shared" si="39"/>
        <v/>
      </c>
      <c r="N82" s="137" t="str">
        <f t="shared" si="39"/>
        <v/>
      </c>
      <c r="O82" s="137" t="str">
        <f t="shared" si="40"/>
        <v/>
      </c>
      <c r="P82" s="137" t="str">
        <f t="shared" si="40"/>
        <v/>
      </c>
      <c r="Q82" s="137" t="str">
        <f t="shared" si="40"/>
        <v/>
      </c>
      <c r="R82" s="137" t="str">
        <f t="shared" si="40"/>
        <v/>
      </c>
      <c r="S82" s="137" t="str">
        <f t="shared" si="40"/>
        <v/>
      </c>
      <c r="T82" s="137" t="str">
        <f t="shared" si="40"/>
        <v/>
      </c>
      <c r="U82" s="137" t="str">
        <f t="shared" si="40"/>
        <v/>
      </c>
      <c r="V82" s="137" t="str">
        <f t="shared" si="40"/>
        <v/>
      </c>
      <c r="W82" s="137" t="str">
        <f t="shared" si="40"/>
        <v/>
      </c>
      <c r="X82" s="137" t="str">
        <f t="shared" si="40"/>
        <v/>
      </c>
    </row>
    <row r="83" spans="1:24" s="5" customFormat="1">
      <c r="A83" s="76"/>
      <c r="B83" s="171"/>
      <c r="C83" s="172" t="s">
        <v>118</v>
      </c>
      <c r="D83" s="175"/>
      <c r="E83" s="176">
        <f>IF((SUM(E72:E77,E81,E82))=0,"",(SUM(E72:E77,E81,E82)))</f>
        <v>846.59091840000008</v>
      </c>
      <c r="F83" s="176" t="str">
        <f t="shared" ref="F83:H83" si="41">IF((SUM(F72:F77,F81,F82))=0,"",(SUM(F72:F77,F81,F82)))</f>
        <v/>
      </c>
      <c r="G83" s="176" t="str">
        <f t="shared" si="41"/>
        <v/>
      </c>
      <c r="H83" s="176" t="str">
        <f t="shared" si="41"/>
        <v/>
      </c>
      <c r="I83" s="176" t="str">
        <f t="shared" ref="I83:N83" si="42">IF((SUM(I72:I77,I81,I82))=0,"",(SUM(I72:I77,I81,I82)))</f>
        <v/>
      </c>
      <c r="J83" s="176" t="str">
        <f t="shared" si="42"/>
        <v/>
      </c>
      <c r="K83" s="176" t="str">
        <f t="shared" si="42"/>
        <v/>
      </c>
      <c r="L83" s="176" t="str">
        <f t="shared" si="42"/>
        <v/>
      </c>
      <c r="M83" s="176" t="str">
        <f t="shared" si="42"/>
        <v/>
      </c>
      <c r="N83" s="176" t="str">
        <f t="shared" si="42"/>
        <v/>
      </c>
      <c r="O83" s="176" t="str">
        <f t="shared" ref="O83:X83" si="43">IF((SUM(O72:O77,O81,O82))=0,"",(SUM(O72:O77,O81,O82)))</f>
        <v/>
      </c>
      <c r="P83" s="176" t="str">
        <f t="shared" si="43"/>
        <v/>
      </c>
      <c r="Q83" s="176" t="str">
        <f t="shared" si="43"/>
        <v/>
      </c>
      <c r="R83" s="176" t="str">
        <f t="shared" si="43"/>
        <v/>
      </c>
      <c r="S83" s="176" t="str">
        <f t="shared" si="43"/>
        <v/>
      </c>
      <c r="T83" s="176" t="str">
        <f t="shared" si="43"/>
        <v/>
      </c>
      <c r="U83" s="176" t="str">
        <f t="shared" si="43"/>
        <v/>
      </c>
      <c r="V83" s="176" t="str">
        <f t="shared" si="43"/>
        <v/>
      </c>
      <c r="W83" s="176" t="str">
        <f t="shared" si="43"/>
        <v/>
      </c>
      <c r="X83" s="176" t="str">
        <f t="shared" si="43"/>
        <v/>
      </c>
    </row>
    <row r="84" spans="1:24" customFormat="1" ht="3.75" customHeight="1"/>
    <row r="85" spans="1:24" s="6" customFormat="1">
      <c r="A85" s="76"/>
      <c r="B85" s="182"/>
      <c r="C85" s="183" t="s">
        <v>126</v>
      </c>
      <c r="D85" s="184"/>
      <c r="E85" s="176"/>
      <c r="F85" s="176"/>
      <c r="G85" s="176"/>
      <c r="H85" s="176"/>
      <c r="I85" s="176"/>
      <c r="J85" s="176"/>
      <c r="K85" s="176"/>
      <c r="L85" s="176"/>
      <c r="M85" s="176"/>
      <c r="N85" s="176"/>
      <c r="O85" s="176"/>
      <c r="P85" s="176"/>
      <c r="Q85" s="176"/>
      <c r="R85" s="176"/>
      <c r="S85" s="176"/>
      <c r="T85" s="176"/>
      <c r="U85" s="176"/>
      <c r="V85" s="176"/>
      <c r="W85" s="176"/>
      <c r="X85" s="176"/>
    </row>
    <row r="86" spans="1:24" s="12" customFormat="1">
      <c r="A86" s="74"/>
      <c r="B86" s="798" t="s">
        <v>2</v>
      </c>
      <c r="C86" s="660" t="s">
        <v>86</v>
      </c>
      <c r="D86" s="661"/>
      <c r="E86" s="240"/>
      <c r="F86" s="240"/>
      <c r="G86" s="240"/>
      <c r="H86" s="240"/>
      <c r="I86" s="240"/>
      <c r="J86" s="240"/>
      <c r="K86" s="240"/>
      <c r="L86" s="240"/>
      <c r="M86" s="240"/>
      <c r="N86" s="240"/>
      <c r="O86" s="240"/>
      <c r="P86" s="240"/>
      <c r="Q86" s="240"/>
      <c r="R86" s="240"/>
      <c r="S86" s="240"/>
      <c r="T86" s="240"/>
      <c r="U86" s="240"/>
      <c r="V86" s="240"/>
      <c r="W86" s="240"/>
      <c r="X86" s="240"/>
    </row>
    <row r="87" spans="1:24">
      <c r="A87" s="74"/>
      <c r="B87" s="799"/>
      <c r="C87" s="662" t="s">
        <v>87</v>
      </c>
      <c r="D87" s="663"/>
      <c r="E87" s="416">
        <f>IF(E18="","",5.3)</f>
        <v>5.3</v>
      </c>
      <c r="F87" s="416" t="str">
        <f t="shared" ref="F87:X87" si="44">IF(F18="","",5.3)</f>
        <v/>
      </c>
      <c r="G87" s="416" t="str">
        <f t="shared" si="44"/>
        <v/>
      </c>
      <c r="H87" s="416" t="str">
        <f t="shared" si="44"/>
        <v/>
      </c>
      <c r="I87" s="416" t="str">
        <f t="shared" si="44"/>
        <v/>
      </c>
      <c r="J87" s="416" t="str">
        <f t="shared" si="44"/>
        <v/>
      </c>
      <c r="K87" s="416" t="str">
        <f t="shared" si="44"/>
        <v/>
      </c>
      <c r="L87" s="416" t="str">
        <f t="shared" si="44"/>
        <v/>
      </c>
      <c r="M87" s="416" t="str">
        <f t="shared" si="44"/>
        <v/>
      </c>
      <c r="N87" s="416" t="str">
        <f t="shared" si="44"/>
        <v/>
      </c>
      <c r="O87" s="416" t="str">
        <f t="shared" si="44"/>
        <v/>
      </c>
      <c r="P87" s="416" t="str">
        <f t="shared" si="44"/>
        <v/>
      </c>
      <c r="Q87" s="416" t="str">
        <f t="shared" si="44"/>
        <v/>
      </c>
      <c r="R87" s="416" t="str">
        <f t="shared" si="44"/>
        <v/>
      </c>
      <c r="S87" s="416" t="str">
        <f t="shared" si="44"/>
        <v/>
      </c>
      <c r="T87" s="416" t="str">
        <f t="shared" si="44"/>
        <v/>
      </c>
      <c r="U87" s="416" t="str">
        <f t="shared" si="44"/>
        <v/>
      </c>
      <c r="V87" s="416" t="str">
        <f t="shared" si="44"/>
        <v/>
      </c>
      <c r="W87" s="416" t="str">
        <f t="shared" si="44"/>
        <v/>
      </c>
      <c r="X87" s="416" t="str">
        <f t="shared" si="44"/>
        <v/>
      </c>
    </row>
    <row r="88" spans="1:24">
      <c r="A88" s="74"/>
      <c r="B88" s="799"/>
      <c r="C88" s="664" t="s">
        <v>108</v>
      </c>
      <c r="D88" s="665"/>
      <c r="E88" s="198">
        <f t="shared" ref="E88:N88" si="45">IF(E18="","",2)</f>
        <v>2</v>
      </c>
      <c r="F88" s="198" t="str">
        <f t="shared" si="45"/>
        <v/>
      </c>
      <c r="G88" s="198" t="str">
        <f t="shared" si="45"/>
        <v/>
      </c>
      <c r="H88" s="198" t="str">
        <f t="shared" si="45"/>
        <v/>
      </c>
      <c r="I88" s="198" t="str">
        <f t="shared" si="45"/>
        <v/>
      </c>
      <c r="J88" s="198" t="str">
        <f t="shared" si="45"/>
        <v/>
      </c>
      <c r="K88" s="198" t="str">
        <f t="shared" si="45"/>
        <v/>
      </c>
      <c r="L88" s="198" t="str">
        <f t="shared" si="45"/>
        <v/>
      </c>
      <c r="M88" s="198" t="str">
        <f t="shared" si="45"/>
        <v/>
      </c>
      <c r="N88" s="198" t="str">
        <f t="shared" si="45"/>
        <v/>
      </c>
      <c r="O88" s="198" t="str">
        <f t="shared" ref="O88:X88" si="46">IF(O18="","",2)</f>
        <v/>
      </c>
      <c r="P88" s="198" t="str">
        <f t="shared" si="46"/>
        <v/>
      </c>
      <c r="Q88" s="198" t="str">
        <f t="shared" si="46"/>
        <v/>
      </c>
      <c r="R88" s="198" t="str">
        <f t="shared" si="46"/>
        <v/>
      </c>
      <c r="S88" s="198" t="str">
        <f t="shared" si="46"/>
        <v/>
      </c>
      <c r="T88" s="198" t="str">
        <f t="shared" si="46"/>
        <v/>
      </c>
      <c r="U88" s="198" t="str">
        <f t="shared" si="46"/>
        <v/>
      </c>
      <c r="V88" s="198" t="str">
        <f t="shared" si="46"/>
        <v/>
      </c>
      <c r="W88" s="198" t="str">
        <f t="shared" si="46"/>
        <v/>
      </c>
      <c r="X88" s="198" t="str">
        <f t="shared" si="46"/>
        <v/>
      </c>
    </row>
    <row r="89" spans="1:24">
      <c r="A89" s="74"/>
      <c r="B89" s="799"/>
      <c r="C89" s="664" t="s">
        <v>88</v>
      </c>
      <c r="D89" s="666"/>
      <c r="E89" s="199">
        <f>IFERROR(IF(E18="","",VLOOKUP(E26,'Apoio - Regime de Trabalho'!$A:$G,7,FALSE)),"")</f>
        <v>22</v>
      </c>
      <c r="F89" s="199" t="str">
        <f>IFERROR(IF(F18="","",VLOOKUP(F26,'Apoio - Regime de Trabalho'!$A:$G,7,FALSE)),"")</f>
        <v/>
      </c>
      <c r="G89" s="199" t="str">
        <f>IFERROR(IF(G18="","",VLOOKUP(G26,'Apoio - Regime de Trabalho'!$A:$G,7,FALSE)),"")</f>
        <v/>
      </c>
      <c r="H89" s="199" t="str">
        <f>IFERROR(IF(H18="","",VLOOKUP(H26,'Apoio - Regime de Trabalho'!$A:$G,7,FALSE)),"")</f>
        <v/>
      </c>
      <c r="I89" s="199" t="str">
        <f>IFERROR(IF(I18="","",VLOOKUP(I26,'Apoio - Regime de Trabalho'!$A:$G,7,FALSE)),"")</f>
        <v/>
      </c>
      <c r="J89" s="199" t="str">
        <f>IFERROR(IF(J18="","",VLOOKUP(J26,'Apoio - Regime de Trabalho'!$A:$G,7,FALSE)),"")</f>
        <v/>
      </c>
      <c r="K89" s="199" t="str">
        <f>IFERROR(IF(K18="","",VLOOKUP(K26,'Apoio - Regime de Trabalho'!$A:$G,7,FALSE)),"")</f>
        <v/>
      </c>
      <c r="L89" s="199" t="str">
        <f>IFERROR(IF(L18="","",VLOOKUP(L26,'Apoio - Regime de Trabalho'!$A:$G,7,FALSE)),"")</f>
        <v/>
      </c>
      <c r="M89" s="199" t="str">
        <f>IFERROR(IF(M18="","",VLOOKUP(M26,'Apoio - Regime de Trabalho'!$A:$G,7,FALSE)),"")</f>
        <v/>
      </c>
      <c r="N89" s="199" t="str">
        <f>IFERROR(IF(N18="","",VLOOKUP(N26,'Apoio - Regime de Trabalho'!$A:$G,7,FALSE)),"")</f>
        <v/>
      </c>
      <c r="O89" s="199" t="str">
        <f>IFERROR(IF(O18="","",VLOOKUP(O26,'Apoio - Regime de Trabalho'!$A:$G,7,FALSE)),"")</f>
        <v/>
      </c>
      <c r="P89" s="199" t="str">
        <f>IFERROR(IF(P18="","",VLOOKUP(P26,'Apoio - Regime de Trabalho'!$A:$G,7,FALSE)),"")</f>
        <v/>
      </c>
      <c r="Q89" s="199" t="str">
        <f>IFERROR(IF(Q18="","",VLOOKUP(Q26,'Apoio - Regime de Trabalho'!$A:$G,7,FALSE)),"")</f>
        <v/>
      </c>
      <c r="R89" s="199" t="str">
        <f>IFERROR(IF(R18="","",VLOOKUP(R26,'Apoio - Regime de Trabalho'!$A:$G,7,FALSE)),"")</f>
        <v/>
      </c>
      <c r="S89" s="199" t="str">
        <f>IFERROR(IF(S18="","",VLOOKUP(S26,'Apoio - Regime de Trabalho'!$A:$G,7,FALSE)),"")</f>
        <v/>
      </c>
      <c r="T89" s="199" t="str">
        <f>IFERROR(IF(T18="","",VLOOKUP(T26,'Apoio - Regime de Trabalho'!$A:$G,7,FALSE)),"")</f>
        <v/>
      </c>
      <c r="U89" s="199" t="str">
        <f>IFERROR(IF(U18="","",VLOOKUP(U26,'Apoio - Regime de Trabalho'!$A:$G,7,FALSE)),"")</f>
        <v/>
      </c>
      <c r="V89" s="199" t="str">
        <f>IFERROR(IF(V18="","",VLOOKUP(V26,'Apoio - Regime de Trabalho'!$A:$G,7,FALSE)),"")</f>
        <v/>
      </c>
      <c r="W89" s="199" t="str">
        <f>IFERROR(IF(W18="","",VLOOKUP(W26,'Apoio - Regime de Trabalho'!$A:$G,7,FALSE)),"")</f>
        <v/>
      </c>
      <c r="X89" s="199" t="str">
        <f>IFERROR(IF(X18="","",VLOOKUP(X26,'Apoio - Regime de Trabalho'!$A:$G,7,FALSE)),"")</f>
        <v/>
      </c>
    </row>
    <row r="90" spans="1:24">
      <c r="A90" s="74"/>
      <c r="B90" s="799"/>
      <c r="C90" s="664" t="s">
        <v>22</v>
      </c>
      <c r="D90" s="665"/>
      <c r="E90" s="200">
        <f>IF(E18="","",IFERROR(VLOOKUP(E$18,'Apoio - Posto'!$A:$AA,16,FALSE),6%))</f>
        <v>0.06</v>
      </c>
      <c r="F90" s="200" t="str">
        <f>IF(F18="","",IFERROR(VLOOKUP(F$18,'Apoio - Posto'!$A:$AA,16,FALSE),6%))</f>
        <v/>
      </c>
      <c r="G90" s="200" t="str">
        <f>IF(G18="","",IFERROR(VLOOKUP(G$18,'Apoio - Posto'!$A:$AA,16,FALSE),6%))</f>
        <v/>
      </c>
      <c r="H90" s="200" t="str">
        <f>IF(H18="","",IFERROR(VLOOKUP(H$18,'Apoio - Posto'!$A:$AA,16,FALSE),6%))</f>
        <v/>
      </c>
      <c r="I90" s="200" t="str">
        <f>IF(I18="","",IFERROR(VLOOKUP(I$18,'Apoio - Posto'!$A:$AA,16,FALSE),6%))</f>
        <v/>
      </c>
      <c r="J90" s="200" t="str">
        <f>IF(J18="","",IFERROR(VLOOKUP(J$18,'Apoio - Posto'!$A:$AA,16,FALSE),6%))</f>
        <v/>
      </c>
      <c r="K90" s="200" t="str">
        <f>IF(K18="","",IFERROR(VLOOKUP(K$18,'Apoio - Posto'!$A:$AA,16,FALSE),6%))</f>
        <v/>
      </c>
      <c r="L90" s="200" t="str">
        <f>IF(L18="","",IFERROR(VLOOKUP(L$18,'Apoio - Posto'!$A:$AA,16,FALSE),6%))</f>
        <v/>
      </c>
      <c r="M90" s="200" t="str">
        <f>IF(M18="","",IFERROR(VLOOKUP(M$18,'Apoio - Posto'!$A:$AA,16,FALSE),6%))</f>
        <v/>
      </c>
      <c r="N90" s="200" t="str">
        <f>IF(N18="","",IFERROR(VLOOKUP(N$18,'Apoio - Posto'!$A:$AA,16,FALSE),6%))</f>
        <v/>
      </c>
      <c r="O90" s="200" t="str">
        <f>IF(O18="","",IFERROR(VLOOKUP(O$18,'Apoio - Posto'!$A:$AA,16,FALSE),6%))</f>
        <v/>
      </c>
      <c r="P90" s="200" t="str">
        <f>IF(P18="","",IFERROR(VLOOKUP(P$18,'Apoio - Posto'!$A:$AA,16,FALSE),6%))</f>
        <v/>
      </c>
      <c r="Q90" s="200" t="str">
        <f>IF(Q18="","",IFERROR(VLOOKUP(Q$18,'Apoio - Posto'!$A:$AA,16,FALSE),6%))</f>
        <v/>
      </c>
      <c r="R90" s="200" t="str">
        <f>IF(R18="","",IFERROR(VLOOKUP(R$18,'Apoio - Posto'!$A:$AA,16,FALSE),6%))</f>
        <v/>
      </c>
      <c r="S90" s="200" t="str">
        <f>IF(S18="","",IFERROR(VLOOKUP(S$18,'Apoio - Posto'!$A:$AA,16,FALSE),6%))</f>
        <v/>
      </c>
      <c r="T90" s="200" t="str">
        <f>IF(T18="","",IFERROR(VLOOKUP(T$18,'Apoio - Posto'!$A:$AA,16,FALSE),6%))</f>
        <v/>
      </c>
      <c r="U90" s="200" t="str">
        <f>IF(U18="","",IFERROR(VLOOKUP(U$18,'Apoio - Posto'!$A:$AA,16,FALSE),6%))</f>
        <v/>
      </c>
      <c r="V90" s="200" t="str">
        <f>IF(V18="","",IFERROR(VLOOKUP(V$18,'Apoio - Posto'!$A:$AA,16,FALSE),6%))</f>
        <v/>
      </c>
      <c r="W90" s="200" t="str">
        <f>IF(W18="","",IFERROR(VLOOKUP(W$18,'Apoio - Posto'!$A:$AA,16,FALSE),6%))</f>
        <v/>
      </c>
      <c r="X90" s="200" t="str">
        <f>IF(X18="","",IFERROR(VLOOKUP(X$18,'Apoio - Posto'!$A:$AA,16,FALSE),6%))</f>
        <v/>
      </c>
    </row>
    <row r="91" spans="1:24">
      <c r="A91" s="74"/>
      <c r="B91" s="800"/>
      <c r="C91" s="219"/>
      <c r="D91" s="667" t="s">
        <v>41</v>
      </c>
      <c r="E91" s="147">
        <f>IFERROR(MAX((E87*E88*E89)-(E$90*E$32),0),"")</f>
        <v>103.64859999999999</v>
      </c>
      <c r="F91" s="147" t="str">
        <f t="shared" ref="F91:N91" si="47">IFERROR(MAX((F87*F88*F89)-(F$90*F$32),0),"")</f>
        <v/>
      </c>
      <c r="G91" s="147" t="str">
        <f>IFERROR(MAX((G87*G88*G89)-(G$90*G$32),0),"")</f>
        <v/>
      </c>
      <c r="H91" s="147" t="str">
        <f t="shared" si="47"/>
        <v/>
      </c>
      <c r="I91" s="147" t="str">
        <f t="shared" si="47"/>
        <v/>
      </c>
      <c r="J91" s="147" t="str">
        <f t="shared" si="47"/>
        <v/>
      </c>
      <c r="K91" s="147" t="str">
        <f t="shared" si="47"/>
        <v/>
      </c>
      <c r="L91" s="147" t="str">
        <f t="shared" si="47"/>
        <v/>
      </c>
      <c r="M91" s="147" t="str">
        <f t="shared" si="47"/>
        <v/>
      </c>
      <c r="N91" s="147" t="str">
        <f t="shared" si="47"/>
        <v/>
      </c>
      <c r="O91" s="147" t="str">
        <f t="shared" ref="O91:X91" si="48">IFERROR(MAX((O87*O88*O89)-(O$90*O$32),0),"")</f>
        <v/>
      </c>
      <c r="P91" s="147" t="str">
        <f t="shared" si="48"/>
        <v/>
      </c>
      <c r="Q91" s="147" t="str">
        <f t="shared" si="48"/>
        <v/>
      </c>
      <c r="R91" s="147" t="str">
        <f t="shared" si="48"/>
        <v/>
      </c>
      <c r="S91" s="147" t="str">
        <f t="shared" si="48"/>
        <v/>
      </c>
      <c r="T91" s="147" t="str">
        <f t="shared" si="48"/>
        <v/>
      </c>
      <c r="U91" s="147" t="str">
        <f t="shared" si="48"/>
        <v/>
      </c>
      <c r="V91" s="147" t="str">
        <f t="shared" si="48"/>
        <v/>
      </c>
      <c r="W91" s="147" t="str">
        <f t="shared" si="48"/>
        <v/>
      </c>
      <c r="X91" s="147" t="str">
        <f t="shared" si="48"/>
        <v/>
      </c>
    </row>
    <row r="92" spans="1:24">
      <c r="A92" s="74"/>
      <c r="B92" s="798" t="s">
        <v>1</v>
      </c>
      <c r="C92" s="668" t="s">
        <v>23</v>
      </c>
      <c r="D92" s="669"/>
      <c r="E92" s="241"/>
      <c r="F92" s="241"/>
      <c r="G92" s="241"/>
      <c r="H92" s="241"/>
      <c r="I92" s="241"/>
      <c r="J92" s="241"/>
      <c r="K92" s="241"/>
      <c r="L92" s="241"/>
      <c r="M92" s="241"/>
      <c r="N92" s="241"/>
      <c r="O92" s="241"/>
      <c r="P92" s="241"/>
      <c r="Q92" s="241"/>
      <c r="R92" s="241"/>
      <c r="S92" s="241"/>
      <c r="T92" s="241"/>
      <c r="U92" s="241"/>
      <c r="V92" s="241"/>
      <c r="W92" s="241"/>
      <c r="X92" s="241"/>
    </row>
    <row r="93" spans="1:24">
      <c r="A93" s="74"/>
      <c r="B93" s="799"/>
      <c r="C93" s="670" t="s">
        <v>24</v>
      </c>
      <c r="D93" s="671"/>
      <c r="E93" s="202">
        <f>IFERROR(VLOOKUP(E$18,'Apoio - Posto'!$A:$AA,IF(VLOOKUP(E26,'Apoio - Regime de Trabalho'!$A:$I,8,FALSE)&gt;=200,9,10),FALSE),"")</f>
        <v>30</v>
      </c>
      <c r="F93" s="202" t="str">
        <f>IFERROR(VLOOKUP(F$18,'Apoio - Posto'!$A:$AA,IF(VLOOKUP(F26,'Apoio - Regime de Trabalho'!$A:$I,8,FALSE)&gt;=200,9,10),FALSE),"")</f>
        <v/>
      </c>
      <c r="G93" s="202" t="str">
        <f>IFERROR(VLOOKUP(G$18,'Apoio - Posto'!$A:$AA,IF(VLOOKUP(G26,'Apoio - Regime de Trabalho'!$A:$I,8,FALSE)&gt;=200,9,10),FALSE),"")</f>
        <v/>
      </c>
      <c r="H93" s="202" t="str">
        <f>IFERROR(VLOOKUP(H$18,'Apoio - Posto'!$A:$AA,IF(VLOOKUP(H26,'Apoio - Regime de Trabalho'!$A:$I,8,FALSE)&gt;=200,9,10),FALSE),"")</f>
        <v/>
      </c>
      <c r="I93" s="202" t="str">
        <f>IFERROR(VLOOKUP(I$18,'Apoio - Posto'!$A:$AA,IF(VLOOKUP(I26,'Apoio - Regime de Trabalho'!$A:$I,8,FALSE)&gt;=200,9,10),FALSE),"")</f>
        <v/>
      </c>
      <c r="J93" s="202" t="str">
        <f>IFERROR(VLOOKUP(J$18,'Apoio - Posto'!$A:$AA,IF(VLOOKUP(J26,'Apoio - Regime de Trabalho'!$A:$I,8,FALSE)&gt;=200,9,10),FALSE),"")</f>
        <v/>
      </c>
      <c r="K93" s="202" t="str">
        <f>IFERROR(VLOOKUP(K$18,'Apoio - Posto'!$A:$AA,IF(VLOOKUP(K26,'Apoio - Regime de Trabalho'!$A:$I,8,FALSE)&gt;=200,9,10),FALSE),"")</f>
        <v/>
      </c>
      <c r="L93" s="202" t="str">
        <f>IFERROR(VLOOKUP(L$18,'Apoio - Posto'!$A:$AA,IF(VLOOKUP(L26,'Apoio - Regime de Trabalho'!$A:$I,8,FALSE)&gt;=200,9,10),FALSE),"")</f>
        <v/>
      </c>
      <c r="M93" s="202" t="str">
        <f>IFERROR(VLOOKUP(M$18,'Apoio - Posto'!$A:$AA,IF(VLOOKUP(M26,'Apoio - Regime de Trabalho'!$A:$I,8,FALSE)&gt;=200,9,10),FALSE),"")</f>
        <v/>
      </c>
      <c r="N93" s="202" t="str">
        <f>IFERROR(VLOOKUP(N$18,'Apoio - Posto'!$A:$AA,IF(VLOOKUP(N26,'Apoio - Regime de Trabalho'!$A:$I,8,FALSE)&gt;=200,9,10),FALSE),"")</f>
        <v/>
      </c>
      <c r="O93" s="202" t="str">
        <f>IFERROR(VLOOKUP(O$18,'Apoio - Posto'!$A:$AA,IF(VLOOKUP(O26,'Apoio - Regime de Trabalho'!$A:$I,8,FALSE)&gt;=200,9,10),FALSE),"")</f>
        <v/>
      </c>
      <c r="P93" s="202" t="str">
        <f>IFERROR(VLOOKUP(P$18,'Apoio - Posto'!$A:$AA,IF(VLOOKUP(P26,'Apoio - Regime de Trabalho'!$A:$I,8,FALSE)&gt;=200,9,10),FALSE),"")</f>
        <v/>
      </c>
      <c r="Q93" s="202" t="str">
        <f>IFERROR(VLOOKUP(Q$18,'Apoio - Posto'!$A:$AA,IF(VLOOKUP(Q26,'Apoio - Regime de Trabalho'!$A:$I,8,FALSE)&gt;=200,9,10),FALSE),"")</f>
        <v/>
      </c>
      <c r="R93" s="202" t="str">
        <f>IFERROR(VLOOKUP(R$18,'Apoio - Posto'!$A:$AA,IF(VLOOKUP(R26,'Apoio - Regime de Trabalho'!$A:$I,8,FALSE)&gt;=200,9,10),FALSE),"")</f>
        <v/>
      </c>
      <c r="S93" s="202" t="str">
        <f>IFERROR(VLOOKUP(S$18,'Apoio - Posto'!$A:$AA,IF(VLOOKUP(S26,'Apoio - Regime de Trabalho'!$A:$I,8,FALSE)&gt;=200,9,10),FALSE),"")</f>
        <v/>
      </c>
      <c r="T93" s="202" t="str">
        <f>IFERROR(VLOOKUP(T$18,'Apoio - Posto'!$A:$AA,IF(VLOOKUP(T26,'Apoio - Regime de Trabalho'!$A:$I,8,FALSE)&gt;=200,9,10),FALSE),"")</f>
        <v/>
      </c>
      <c r="U93" s="202" t="str">
        <f>IFERROR(VLOOKUP(U$18,'Apoio - Posto'!$A:$AA,IF(VLOOKUP(U26,'Apoio - Regime de Trabalho'!$A:$I,8,FALSE)&gt;=200,9,10),FALSE),"")</f>
        <v/>
      </c>
      <c r="V93" s="202" t="str">
        <f>IFERROR(VLOOKUP(V$18,'Apoio - Posto'!$A:$AA,IF(VLOOKUP(V26,'Apoio - Regime de Trabalho'!$A:$I,8,FALSE)&gt;=200,9,10),FALSE),"")</f>
        <v/>
      </c>
      <c r="W93" s="202" t="str">
        <f>IFERROR(VLOOKUP(W$18,'Apoio - Posto'!$A:$AA,IF(VLOOKUP(W26,'Apoio - Regime de Trabalho'!$A:$I,8,FALSE)&gt;=200,9,10),FALSE),"")</f>
        <v/>
      </c>
      <c r="X93" s="202" t="str">
        <f>IFERROR(VLOOKUP(X$18,'Apoio - Posto'!$A:$AA,IF(VLOOKUP(X26,'Apoio - Regime de Trabalho'!$A:$I,8,FALSE)&gt;=200,9,10),FALSE),"")</f>
        <v/>
      </c>
    </row>
    <row r="94" spans="1:24">
      <c r="A94" s="74"/>
      <c r="B94" s="799"/>
      <c r="C94" s="672" t="s">
        <v>276</v>
      </c>
      <c r="D94" s="673"/>
      <c r="E94" s="204">
        <f>IFERROR(IF(E18="","",VLOOKUP(E26,'Apoio - Regime de Trabalho'!$A:$G,7,FALSE)),"")</f>
        <v>22</v>
      </c>
      <c r="F94" s="204" t="str">
        <f>IFERROR(IF(F18="","",VLOOKUP(F26,'Apoio - Regime de Trabalho'!$A:$G,7,FALSE)),"")</f>
        <v/>
      </c>
      <c r="G94" s="204" t="str">
        <f>IFERROR(IF(G18="","",VLOOKUP(G26,'Apoio - Regime de Trabalho'!$A:$G,7,FALSE)),"")</f>
        <v/>
      </c>
      <c r="H94" s="204" t="str">
        <f>IFERROR(IF(H18="","",VLOOKUP(H26,'Apoio - Regime de Trabalho'!$A:$G,7,FALSE)),"")</f>
        <v/>
      </c>
      <c r="I94" s="204" t="str">
        <f>IFERROR(IF(I18="","",VLOOKUP(I26,'Apoio - Regime de Trabalho'!$A:$G,7,FALSE)),"")</f>
        <v/>
      </c>
      <c r="J94" s="204" t="str">
        <f>IFERROR(IF(J18="","",VLOOKUP(J26,'Apoio - Regime de Trabalho'!$A:$G,7,FALSE)),"")</f>
        <v/>
      </c>
      <c r="K94" s="204" t="str">
        <f>IFERROR(IF(K18="","",VLOOKUP(K26,'Apoio - Regime de Trabalho'!$A:$G,7,FALSE)),"")</f>
        <v/>
      </c>
      <c r="L94" s="204" t="str">
        <f>IFERROR(IF(L18="","",VLOOKUP(L26,'Apoio - Regime de Trabalho'!$A:$G,7,FALSE)),"")</f>
        <v/>
      </c>
      <c r="M94" s="204" t="str">
        <f>IFERROR(IF(M18="","",VLOOKUP(M26,'Apoio - Regime de Trabalho'!$A:$G,7,FALSE)),"")</f>
        <v/>
      </c>
      <c r="N94" s="204" t="str">
        <f>IFERROR(IF(N18="","",VLOOKUP(N26,'Apoio - Regime de Trabalho'!$A:$G,7,FALSE)),"")</f>
        <v/>
      </c>
      <c r="O94" s="204" t="str">
        <f>IFERROR(IF(O18="","",VLOOKUP(O26,'Apoio - Regime de Trabalho'!$A:$G,7,FALSE)),"")</f>
        <v/>
      </c>
      <c r="P94" s="204" t="str">
        <f>IFERROR(IF(P18="","",VLOOKUP(P26,'Apoio - Regime de Trabalho'!$A:$G,7,FALSE)),"")</f>
        <v/>
      </c>
      <c r="Q94" s="204" t="str">
        <f>IFERROR(IF(Q18="","",VLOOKUP(Q26,'Apoio - Regime de Trabalho'!$A:$G,7,FALSE)),"")</f>
        <v/>
      </c>
      <c r="R94" s="204" t="str">
        <f>IFERROR(IF(R18="","",VLOOKUP(R26,'Apoio - Regime de Trabalho'!$A:$G,7,FALSE)),"")</f>
        <v/>
      </c>
      <c r="S94" s="204" t="str">
        <f>IFERROR(IF(S18="","",VLOOKUP(S26,'Apoio - Regime de Trabalho'!$A:$G,7,FALSE)),"")</f>
        <v/>
      </c>
      <c r="T94" s="204" t="str">
        <f>IFERROR(IF(T18="","",VLOOKUP(T26,'Apoio - Regime de Trabalho'!$A:$G,7,FALSE)),"")</f>
        <v/>
      </c>
      <c r="U94" s="204" t="str">
        <f>IFERROR(IF(U18="","",VLOOKUP(U26,'Apoio - Regime de Trabalho'!$A:$G,7,FALSE)),"")</f>
        <v/>
      </c>
      <c r="V94" s="204" t="str">
        <f>IFERROR(IF(V18="","",VLOOKUP(V26,'Apoio - Regime de Trabalho'!$A:$G,7,FALSE)),"")</f>
        <v/>
      </c>
      <c r="W94" s="204" t="str">
        <f>IFERROR(IF(W18="","",VLOOKUP(W26,'Apoio - Regime de Trabalho'!$A:$G,7,FALSE)),"")</f>
        <v/>
      </c>
      <c r="X94" s="204" t="str">
        <f>IFERROR(IF(X18="","",VLOOKUP(X26,'Apoio - Regime de Trabalho'!$A:$G,7,FALSE)),"")</f>
        <v/>
      </c>
    </row>
    <row r="95" spans="1:24">
      <c r="A95" s="74"/>
      <c r="B95" s="799"/>
      <c r="C95" s="672" t="s">
        <v>273</v>
      </c>
      <c r="D95" s="673"/>
      <c r="E95" s="205">
        <f>IFERROR(VLOOKUP(E$18,'Apoio - Posto'!$A:$AA,17,FALSE),"")</f>
        <v>0.2</v>
      </c>
      <c r="F95" s="205" t="str">
        <f>IFERROR(VLOOKUP(F$18,'Apoio - Posto'!$A:$AA,17,FALSE),"")</f>
        <v/>
      </c>
      <c r="G95" s="205" t="str">
        <f>IFERROR(VLOOKUP(G$18,'Apoio - Posto'!$A:$AA,17,FALSE),"")</f>
        <v/>
      </c>
      <c r="H95" s="205" t="str">
        <f>IFERROR(VLOOKUP(H$18,'Apoio - Posto'!$A:$AA,17,FALSE),"")</f>
        <v/>
      </c>
      <c r="I95" s="205" t="str">
        <f>IFERROR(VLOOKUP(I$18,'Apoio - Posto'!$A:$AA,17,FALSE),"")</f>
        <v/>
      </c>
      <c r="J95" s="205" t="str">
        <f>IFERROR(VLOOKUP(J$18,'Apoio - Posto'!$A:$AA,17,FALSE),"")</f>
        <v/>
      </c>
      <c r="K95" s="205" t="str">
        <f>IFERROR(VLOOKUP(K$18,'Apoio - Posto'!$A:$AA,17,FALSE),"")</f>
        <v/>
      </c>
      <c r="L95" s="205" t="str">
        <f>IFERROR(VLOOKUP(L$18,'Apoio - Posto'!$A:$AA,17,FALSE),"")</f>
        <v/>
      </c>
      <c r="M95" s="205" t="str">
        <f>IFERROR(VLOOKUP(M$18,'Apoio - Posto'!$A:$AA,17,FALSE),"")</f>
        <v/>
      </c>
      <c r="N95" s="205" t="str">
        <f>IFERROR(VLOOKUP(N$18,'Apoio - Posto'!$A:$AA,17,FALSE),"")</f>
        <v/>
      </c>
      <c r="O95" s="205" t="str">
        <f>IFERROR(VLOOKUP(O$18,'Apoio - Posto'!$A:$AA,17,FALSE),"")</f>
        <v/>
      </c>
      <c r="P95" s="205" t="str">
        <f>IFERROR(VLOOKUP(P$18,'Apoio - Posto'!$A:$AA,17,FALSE),"")</f>
        <v/>
      </c>
      <c r="Q95" s="205" t="str">
        <f>IFERROR(VLOOKUP(Q$18,'Apoio - Posto'!$A:$AA,17,FALSE),"")</f>
        <v/>
      </c>
      <c r="R95" s="205" t="str">
        <f>IFERROR(VLOOKUP(R$18,'Apoio - Posto'!$A:$AA,17,FALSE),"")</f>
        <v/>
      </c>
      <c r="S95" s="205" t="str">
        <f>IFERROR(VLOOKUP(S$18,'Apoio - Posto'!$A:$AA,17,FALSE),"")</f>
        <v/>
      </c>
      <c r="T95" s="205" t="str">
        <f>IFERROR(VLOOKUP(T$18,'Apoio - Posto'!$A:$AA,17,FALSE),"")</f>
        <v/>
      </c>
      <c r="U95" s="205" t="str">
        <f>IFERROR(VLOOKUP(U$18,'Apoio - Posto'!$A:$AA,17,FALSE),"")</f>
        <v/>
      </c>
      <c r="V95" s="205" t="str">
        <f>IFERROR(VLOOKUP(V$18,'Apoio - Posto'!$A:$AA,17,FALSE),"")</f>
        <v/>
      </c>
      <c r="W95" s="205" t="str">
        <f>IFERROR(VLOOKUP(W$18,'Apoio - Posto'!$A:$AA,17,FALSE),"")</f>
        <v/>
      </c>
      <c r="X95" s="205" t="str">
        <f>IFERROR(VLOOKUP(X$18,'Apoio - Posto'!$A:$AA,17,FALSE),"")</f>
        <v/>
      </c>
    </row>
    <row r="96" spans="1:24">
      <c r="A96" s="74"/>
      <c r="B96" s="800"/>
      <c r="C96" s="219"/>
      <c r="D96" s="667" t="s">
        <v>41</v>
      </c>
      <c r="E96" s="101">
        <f>IFERROR((E93*E94)-(E$93*E$94*E$95),"")</f>
        <v>528</v>
      </c>
      <c r="F96" s="101" t="str">
        <f t="shared" ref="F96:H96" si="49">IFERROR((F93*F94)-(F$93*F$94*F$95),"")</f>
        <v/>
      </c>
      <c r="G96" s="101" t="str">
        <f t="shared" si="49"/>
        <v/>
      </c>
      <c r="H96" s="101" t="str">
        <f t="shared" si="49"/>
        <v/>
      </c>
      <c r="I96" s="101" t="str">
        <f t="shared" ref="I96:N96" si="50">IFERROR((I93*I94)-(I$93*I$94*I$95),"")</f>
        <v/>
      </c>
      <c r="J96" s="101" t="str">
        <f t="shared" si="50"/>
        <v/>
      </c>
      <c r="K96" s="101" t="str">
        <f t="shared" si="50"/>
        <v/>
      </c>
      <c r="L96" s="101" t="str">
        <f t="shared" si="50"/>
        <v/>
      </c>
      <c r="M96" s="101" t="str">
        <f t="shared" si="50"/>
        <v/>
      </c>
      <c r="N96" s="101" t="str">
        <f t="shared" si="50"/>
        <v/>
      </c>
      <c r="O96" s="101" t="str">
        <f t="shared" ref="O96:X96" si="51">IFERROR((O93*O94)-(O$93*O$94*O$95),"")</f>
        <v/>
      </c>
      <c r="P96" s="101" t="str">
        <f t="shared" si="51"/>
        <v/>
      </c>
      <c r="Q96" s="101" t="str">
        <f t="shared" si="51"/>
        <v/>
      </c>
      <c r="R96" s="101" t="str">
        <f t="shared" si="51"/>
        <v/>
      </c>
      <c r="S96" s="101" t="str">
        <f t="shared" si="51"/>
        <v/>
      </c>
      <c r="T96" s="101" t="str">
        <f t="shared" si="51"/>
        <v/>
      </c>
      <c r="U96" s="101" t="str">
        <f t="shared" si="51"/>
        <v/>
      </c>
      <c r="V96" s="101" t="str">
        <f t="shared" si="51"/>
        <v/>
      </c>
      <c r="W96" s="101" t="str">
        <f t="shared" si="51"/>
        <v/>
      </c>
      <c r="X96" s="101" t="str">
        <f t="shared" si="51"/>
        <v/>
      </c>
    </row>
    <row r="97" spans="1:24">
      <c r="A97" s="74"/>
      <c r="B97" s="798" t="s">
        <v>0</v>
      </c>
      <c r="C97" s="674" t="s">
        <v>25</v>
      </c>
      <c r="D97" s="669"/>
      <c r="E97" s="242"/>
      <c r="F97" s="242"/>
      <c r="G97" s="242"/>
      <c r="H97" s="242"/>
      <c r="I97" s="242"/>
      <c r="J97" s="242"/>
      <c r="K97" s="242"/>
      <c r="L97" s="242"/>
      <c r="M97" s="242"/>
      <c r="N97" s="242"/>
      <c r="O97" s="242"/>
      <c r="P97" s="242"/>
      <c r="Q97" s="242"/>
      <c r="R97" s="242"/>
      <c r="S97" s="242"/>
      <c r="T97" s="242"/>
      <c r="U97" s="242"/>
      <c r="V97" s="242"/>
      <c r="W97" s="242"/>
      <c r="X97" s="242"/>
    </row>
    <row r="98" spans="1:24">
      <c r="A98" s="74"/>
      <c r="B98" s="799"/>
      <c r="C98" s="662" t="s">
        <v>26</v>
      </c>
      <c r="D98" s="675"/>
      <c r="E98" s="206"/>
      <c r="F98" s="206"/>
      <c r="G98" s="206"/>
      <c r="H98" s="206"/>
      <c r="I98" s="206"/>
      <c r="J98" s="206"/>
      <c r="K98" s="206"/>
      <c r="L98" s="206"/>
      <c r="M98" s="206"/>
      <c r="N98" s="206"/>
      <c r="O98" s="206"/>
      <c r="P98" s="206"/>
      <c r="Q98" s="206"/>
      <c r="R98" s="206"/>
      <c r="S98" s="206"/>
      <c r="T98" s="206"/>
      <c r="U98" s="206"/>
      <c r="V98" s="206"/>
      <c r="W98" s="206"/>
      <c r="X98" s="206"/>
    </row>
    <row r="99" spans="1:24">
      <c r="A99" s="74"/>
      <c r="B99" s="799"/>
      <c r="C99" s="664" t="s">
        <v>273</v>
      </c>
      <c r="D99" s="666"/>
      <c r="E99" s="95"/>
      <c r="F99" s="95"/>
      <c r="G99" s="95"/>
      <c r="H99" s="95"/>
      <c r="I99" s="95"/>
      <c r="J99" s="95"/>
      <c r="K99" s="95"/>
      <c r="L99" s="95"/>
      <c r="M99" s="95"/>
      <c r="N99" s="95"/>
      <c r="O99" s="95"/>
      <c r="P99" s="95"/>
      <c r="Q99" s="95"/>
      <c r="R99" s="95"/>
      <c r="S99" s="95"/>
      <c r="T99" s="95"/>
      <c r="U99" s="95"/>
      <c r="V99" s="95"/>
      <c r="W99" s="95"/>
      <c r="X99" s="95"/>
    </row>
    <row r="100" spans="1:24">
      <c r="A100" s="74"/>
      <c r="B100" s="800"/>
      <c r="C100" s="219"/>
      <c r="D100" s="667" t="s">
        <v>41</v>
      </c>
      <c r="E100" s="248">
        <f t="shared" ref="E100:N100" si="52">IF(E21="","",IFERROR((E$98)-(E$99*E$98),""))</f>
        <v>0</v>
      </c>
      <c r="F100" s="248" t="str">
        <f t="shared" si="52"/>
        <v/>
      </c>
      <c r="G100" s="248" t="str">
        <f t="shared" si="52"/>
        <v/>
      </c>
      <c r="H100" s="248" t="str">
        <f t="shared" si="52"/>
        <v/>
      </c>
      <c r="I100" s="248" t="str">
        <f t="shared" si="52"/>
        <v/>
      </c>
      <c r="J100" s="248" t="str">
        <f t="shared" si="52"/>
        <v/>
      </c>
      <c r="K100" s="248" t="str">
        <f t="shared" si="52"/>
        <v/>
      </c>
      <c r="L100" s="248" t="str">
        <f t="shared" si="52"/>
        <v/>
      </c>
      <c r="M100" s="248" t="str">
        <f t="shared" si="52"/>
        <v/>
      </c>
      <c r="N100" s="248" t="str">
        <f t="shared" si="52"/>
        <v/>
      </c>
      <c r="O100" s="248" t="str">
        <f t="shared" ref="O100:X100" si="53">IF(O21="","",IFERROR((O$98)-(O$99*O$98),""))</f>
        <v/>
      </c>
      <c r="P100" s="248" t="str">
        <f t="shared" si="53"/>
        <v/>
      </c>
      <c r="Q100" s="248" t="str">
        <f t="shared" si="53"/>
        <v/>
      </c>
      <c r="R100" s="248" t="str">
        <f t="shared" si="53"/>
        <v/>
      </c>
      <c r="S100" s="248" t="str">
        <f t="shared" si="53"/>
        <v/>
      </c>
      <c r="T100" s="248" t="str">
        <f t="shared" si="53"/>
        <v/>
      </c>
      <c r="U100" s="248" t="str">
        <f t="shared" si="53"/>
        <v/>
      </c>
      <c r="V100" s="248" t="str">
        <f t="shared" si="53"/>
        <v/>
      </c>
      <c r="W100" s="248" t="str">
        <f t="shared" si="53"/>
        <v/>
      </c>
      <c r="X100" s="248" t="str">
        <f t="shared" si="53"/>
        <v/>
      </c>
    </row>
    <row r="101" spans="1:24">
      <c r="A101" s="74"/>
      <c r="B101" s="87" t="s">
        <v>3</v>
      </c>
      <c r="C101" s="676" t="s">
        <v>27</v>
      </c>
      <c r="D101" s="677"/>
      <c r="E101" s="384">
        <f>IFERROR(VLOOKUP(E$18,'Apoio - Posto'!$A:$AA,19,FALSE),"")</f>
        <v>25.52</v>
      </c>
      <c r="F101" s="384" t="str">
        <f>IFERROR(VLOOKUP(F$18,'Apoio - Posto'!$A:$AA,19,FALSE),"")</f>
        <v/>
      </c>
      <c r="G101" s="384" t="str">
        <f>IFERROR(VLOOKUP(G$18,'Apoio - Posto'!$A:$AA,19,FALSE),"")</f>
        <v/>
      </c>
      <c r="H101" s="384" t="str">
        <f>IFERROR(VLOOKUP(H$18,'Apoio - Posto'!$A:$AA,19,FALSE),"")</f>
        <v/>
      </c>
      <c r="I101" s="384" t="str">
        <f>IFERROR(VLOOKUP(I$18,'Apoio - Posto'!$A:$AA,19,FALSE),"")</f>
        <v/>
      </c>
      <c r="J101" s="384" t="str">
        <f>IFERROR(VLOOKUP(J$18,'Apoio - Posto'!$A:$AA,19,FALSE),"")</f>
        <v/>
      </c>
      <c r="K101" s="384" t="str">
        <f>IFERROR(VLOOKUP(K$18,'Apoio - Posto'!$A:$AA,19,FALSE),"")</f>
        <v/>
      </c>
      <c r="L101" s="384" t="str">
        <f>IFERROR(VLOOKUP(L$18,'Apoio - Posto'!$A:$AA,19,FALSE),"")</f>
        <v/>
      </c>
      <c r="M101" s="384" t="str">
        <f>IFERROR(VLOOKUP(M$18,'Apoio - Posto'!$A:$AA,19,FALSE),"")</f>
        <v/>
      </c>
      <c r="N101" s="384" t="str">
        <f>IFERROR(VLOOKUP(N$18,'Apoio - Posto'!$A:$AA,19,FALSE),"")</f>
        <v/>
      </c>
      <c r="O101" s="384" t="str">
        <f>IFERROR(VLOOKUP(O$18,'Apoio - Posto'!$A:$AA,19,FALSE),"")</f>
        <v/>
      </c>
      <c r="P101" s="384" t="str">
        <f>IFERROR(VLOOKUP(P$18,'Apoio - Posto'!$A:$AA,19,FALSE),"")</f>
        <v/>
      </c>
      <c r="Q101" s="384" t="str">
        <f>IFERROR(VLOOKUP(Q$18,'Apoio - Posto'!$A:$AA,19,FALSE),"")</f>
        <v/>
      </c>
      <c r="R101" s="384" t="str">
        <f>IFERROR(VLOOKUP(R$18,'Apoio - Posto'!$A:$AA,19,FALSE),"")</f>
        <v/>
      </c>
      <c r="S101" s="384" t="str">
        <f>IFERROR(VLOOKUP(S$18,'Apoio - Posto'!$A:$AA,19,FALSE),"")</f>
        <v/>
      </c>
      <c r="T101" s="384" t="str">
        <f>IFERROR(VLOOKUP(T$18,'Apoio - Posto'!$A:$AA,19,FALSE),"")</f>
        <v/>
      </c>
      <c r="U101" s="384" t="str">
        <f>IFERROR(VLOOKUP(U$18,'Apoio - Posto'!$A:$AA,19,FALSE),"")</f>
        <v/>
      </c>
      <c r="V101" s="384" t="str">
        <f>IFERROR(VLOOKUP(V$18,'Apoio - Posto'!$A:$AA,19,FALSE),"")</f>
        <v/>
      </c>
      <c r="W101" s="384" t="str">
        <f>IFERROR(VLOOKUP(W$18,'Apoio - Posto'!$A:$AA,19,FALSE),"")</f>
        <v/>
      </c>
      <c r="X101" s="384" t="str">
        <f>IFERROR(VLOOKUP(X$18,'Apoio - Posto'!$A:$AA,19,FALSE),"")</f>
        <v/>
      </c>
    </row>
    <row r="102" spans="1:24">
      <c r="A102" s="74"/>
      <c r="B102" s="185" t="s">
        <v>7</v>
      </c>
      <c r="C102" s="678" t="s">
        <v>28</v>
      </c>
      <c r="D102" s="679"/>
      <c r="E102" s="385"/>
      <c r="F102" s="385"/>
      <c r="G102" s="385"/>
      <c r="H102" s="385"/>
      <c r="I102" s="385"/>
      <c r="J102" s="385"/>
      <c r="K102" s="385"/>
      <c r="L102" s="385"/>
      <c r="M102" s="385"/>
      <c r="N102" s="385"/>
      <c r="O102" s="385"/>
      <c r="P102" s="385"/>
      <c r="Q102" s="385"/>
      <c r="R102" s="385"/>
      <c r="S102" s="385"/>
      <c r="T102" s="385"/>
      <c r="U102" s="385"/>
      <c r="V102" s="385"/>
      <c r="W102" s="385"/>
      <c r="X102" s="385"/>
    </row>
    <row r="103" spans="1:24">
      <c r="A103" s="74"/>
      <c r="B103" s="798" t="s">
        <v>6</v>
      </c>
      <c r="C103" s="668" t="s">
        <v>29</v>
      </c>
      <c r="D103" s="679"/>
      <c r="E103" s="241"/>
      <c r="F103" s="241"/>
      <c r="G103" s="241"/>
      <c r="H103" s="241"/>
      <c r="I103" s="241"/>
      <c r="J103" s="241"/>
      <c r="K103" s="241"/>
      <c r="L103" s="241"/>
      <c r="M103" s="241"/>
      <c r="N103" s="241"/>
      <c r="O103" s="241"/>
      <c r="P103" s="241"/>
      <c r="Q103" s="241"/>
      <c r="R103" s="241"/>
      <c r="S103" s="241"/>
      <c r="T103" s="241"/>
      <c r="U103" s="241"/>
      <c r="V103" s="241"/>
      <c r="W103" s="241"/>
      <c r="X103" s="241"/>
    </row>
    <row r="104" spans="1:24">
      <c r="A104" s="74"/>
      <c r="B104" s="799"/>
      <c r="C104" s="670" t="s">
        <v>26</v>
      </c>
      <c r="D104" s="680"/>
      <c r="E104" s="202"/>
      <c r="F104" s="202"/>
      <c r="G104" s="202"/>
      <c r="H104" s="202"/>
      <c r="I104" s="202"/>
      <c r="J104" s="202"/>
      <c r="K104" s="202"/>
      <c r="L104" s="202"/>
      <c r="M104" s="202"/>
      <c r="N104" s="202"/>
      <c r="O104" s="202"/>
      <c r="P104" s="202"/>
      <c r="Q104" s="202"/>
      <c r="R104" s="202"/>
      <c r="S104" s="202"/>
      <c r="T104" s="202"/>
      <c r="U104" s="202"/>
      <c r="V104" s="202"/>
      <c r="W104" s="202"/>
      <c r="X104" s="202"/>
    </row>
    <row r="105" spans="1:24">
      <c r="A105" s="74"/>
      <c r="B105" s="799"/>
      <c r="C105" s="672" t="s">
        <v>109</v>
      </c>
      <c r="D105" s="673"/>
      <c r="E105" s="205"/>
      <c r="F105" s="205"/>
      <c r="G105" s="205"/>
      <c r="H105" s="205"/>
      <c r="I105" s="205"/>
      <c r="J105" s="205"/>
      <c r="K105" s="205"/>
      <c r="L105" s="205"/>
      <c r="M105" s="205"/>
      <c r="N105" s="205"/>
      <c r="O105" s="205"/>
      <c r="P105" s="205"/>
      <c r="Q105" s="205"/>
      <c r="R105" s="205"/>
      <c r="S105" s="205"/>
      <c r="T105" s="205"/>
      <c r="U105" s="205"/>
      <c r="V105" s="205"/>
      <c r="W105" s="205"/>
      <c r="X105" s="205"/>
    </row>
    <row r="106" spans="1:24">
      <c r="A106" s="74"/>
      <c r="B106" s="800"/>
      <c r="C106" s="219"/>
      <c r="D106" s="667" t="s">
        <v>41</v>
      </c>
      <c r="E106" s="207">
        <f t="shared" ref="E106:N106" si="54">IF(E21="","",IFERROR((E104)-(E$105*E$104),""))</f>
        <v>0</v>
      </c>
      <c r="F106" s="207" t="str">
        <f t="shared" si="54"/>
        <v/>
      </c>
      <c r="G106" s="207" t="str">
        <f t="shared" si="54"/>
        <v/>
      </c>
      <c r="H106" s="207" t="str">
        <f t="shared" si="54"/>
        <v/>
      </c>
      <c r="I106" s="207" t="str">
        <f t="shared" si="54"/>
        <v/>
      </c>
      <c r="J106" s="207" t="str">
        <f t="shared" si="54"/>
        <v/>
      </c>
      <c r="K106" s="207" t="str">
        <f t="shared" si="54"/>
        <v/>
      </c>
      <c r="L106" s="207" t="str">
        <f t="shared" si="54"/>
        <v/>
      </c>
      <c r="M106" s="207" t="str">
        <f t="shared" si="54"/>
        <v/>
      </c>
      <c r="N106" s="207" t="str">
        <f t="shared" si="54"/>
        <v/>
      </c>
      <c r="O106" s="207" t="str">
        <f t="shared" ref="O106:X106" si="55">IF(O21="","",IFERROR((O104)-(O$105*O$104),""))</f>
        <v/>
      </c>
      <c r="P106" s="207" t="str">
        <f t="shared" si="55"/>
        <v/>
      </c>
      <c r="Q106" s="207" t="str">
        <f t="shared" si="55"/>
        <v/>
      </c>
      <c r="R106" s="207" t="str">
        <f t="shared" si="55"/>
        <v/>
      </c>
      <c r="S106" s="207" t="str">
        <f t="shared" si="55"/>
        <v/>
      </c>
      <c r="T106" s="207" t="str">
        <f t="shared" si="55"/>
        <v/>
      </c>
      <c r="U106" s="207" t="str">
        <f t="shared" si="55"/>
        <v/>
      </c>
      <c r="V106" s="207" t="str">
        <f t="shared" si="55"/>
        <v/>
      </c>
      <c r="W106" s="207" t="str">
        <f t="shared" si="55"/>
        <v/>
      </c>
      <c r="X106" s="207" t="str">
        <f t="shared" si="55"/>
        <v/>
      </c>
    </row>
    <row r="107" spans="1:24">
      <c r="A107" s="74"/>
      <c r="B107" s="185" t="s">
        <v>5</v>
      </c>
      <c r="C107" s="678" t="s">
        <v>30</v>
      </c>
      <c r="D107" s="681" t="str">
        <f>IFERROR(VLOOKUP(E18,'Apoio - Posto'!A:J,14,FALSE),"")</f>
        <v/>
      </c>
      <c r="E107" s="417">
        <f>IFERROR(VLOOKUP(E$18,'Apoio - Posto'!$A:$AA,18,FALSE),"")</f>
        <v>0</v>
      </c>
      <c r="F107" s="417" t="str">
        <f>IFERROR(VLOOKUP(F$18,'Apoio - Posto'!$A:$AA,18,FALSE),"")</f>
        <v/>
      </c>
      <c r="G107" s="417" t="str">
        <f>IFERROR(VLOOKUP(G$18,'Apoio - Posto'!$A:$AA,18,FALSE),"")</f>
        <v/>
      </c>
      <c r="H107" s="417" t="str">
        <f>IFERROR(VLOOKUP(H$18,'Apoio - Posto'!$A:$AA,18,FALSE),"")</f>
        <v/>
      </c>
      <c r="I107" s="417" t="str">
        <f>IFERROR(VLOOKUP(I$18,'Apoio - Posto'!$A:$AA,18,FALSE),"")</f>
        <v/>
      </c>
      <c r="J107" s="417" t="str">
        <f>IFERROR(VLOOKUP(J$18,'Apoio - Posto'!$A:$AA,18,FALSE),"")</f>
        <v/>
      </c>
      <c r="K107" s="417" t="str">
        <f>IFERROR(VLOOKUP(K$18,'Apoio - Posto'!$A:$AA,18,FALSE),"")</f>
        <v/>
      </c>
      <c r="L107" s="417" t="str">
        <f>IFERROR(VLOOKUP(L$18,'Apoio - Posto'!$A:$AA,18,FALSE),"")</f>
        <v/>
      </c>
      <c r="M107" s="417" t="str">
        <f>IFERROR(VLOOKUP(M$18,'Apoio - Posto'!$A:$AA,18,FALSE),"")</f>
        <v/>
      </c>
      <c r="N107" s="417" t="str">
        <f>IFERROR(VLOOKUP(N$18,'Apoio - Posto'!$A:$AA,18,FALSE),"")</f>
        <v/>
      </c>
      <c r="O107" s="417" t="str">
        <f>IFERROR(VLOOKUP(O$18,'Apoio - Posto'!$A:$AA,18,FALSE),"")</f>
        <v/>
      </c>
      <c r="P107" s="417" t="str">
        <f>IFERROR(VLOOKUP(P$18,'Apoio - Posto'!$A:$AA,18,FALSE),"")</f>
        <v/>
      </c>
      <c r="Q107" s="417" t="str">
        <f>IFERROR(VLOOKUP(Q$18,'Apoio - Posto'!$A:$AA,18,FALSE),"")</f>
        <v/>
      </c>
      <c r="R107" s="417" t="str">
        <f>IFERROR(VLOOKUP(R$18,'Apoio - Posto'!$A:$AA,18,FALSE),"")</f>
        <v/>
      </c>
      <c r="S107" s="417" t="str">
        <f>IFERROR(VLOOKUP(S$18,'Apoio - Posto'!$A:$AA,18,FALSE),"")</f>
        <v/>
      </c>
      <c r="T107" s="417" t="str">
        <f>IFERROR(VLOOKUP(T$18,'Apoio - Posto'!$A:$AA,18,FALSE),"")</f>
        <v/>
      </c>
      <c r="U107" s="417" t="str">
        <f>IFERROR(VLOOKUP(U$18,'Apoio - Posto'!$A:$AA,18,FALSE),"")</f>
        <v/>
      </c>
      <c r="V107" s="417" t="str">
        <f>IFERROR(VLOOKUP(V$18,'Apoio - Posto'!$A:$AA,18,FALSE),"")</f>
        <v/>
      </c>
      <c r="W107" s="417" t="str">
        <f>IFERROR(VLOOKUP(W$18,'Apoio - Posto'!$A:$AA,18,FALSE),"")</f>
        <v/>
      </c>
      <c r="X107" s="417" t="str">
        <f>IFERROR(VLOOKUP(X$18,'Apoio - Posto'!$A:$AA,18,FALSE),"")</f>
        <v/>
      </c>
    </row>
    <row r="108" spans="1:24">
      <c r="A108" s="74"/>
      <c r="B108" s="798" t="s">
        <v>4</v>
      </c>
      <c r="C108" s="695" t="s">
        <v>114</v>
      </c>
      <c r="D108" s="679"/>
      <c r="E108" s="385"/>
      <c r="F108" s="385"/>
      <c r="G108" s="385"/>
      <c r="H108" s="385"/>
      <c r="I108" s="385"/>
      <c r="J108" s="385"/>
      <c r="K108" s="385"/>
      <c r="L108" s="385"/>
      <c r="M108" s="385"/>
      <c r="N108" s="385"/>
      <c r="O108" s="385"/>
      <c r="P108" s="385"/>
      <c r="Q108" s="385"/>
      <c r="R108" s="385"/>
      <c r="S108" s="385"/>
      <c r="T108" s="385"/>
      <c r="U108" s="385"/>
      <c r="V108" s="385"/>
      <c r="W108" s="385"/>
      <c r="X108" s="385"/>
    </row>
    <row r="109" spans="1:24">
      <c r="A109" s="74"/>
      <c r="B109" s="799"/>
      <c r="C109" s="670" t="s">
        <v>272</v>
      </c>
      <c r="D109" s="680"/>
      <c r="E109" s="418" t="str">
        <f>IF(E23="SINDIVIGILANTES",80,
   IF(E23="SINDASSEIO",
      IF(OR(IFERROR(VALUE(LEFT(E26,FIND("h",E26)-1)),0)&gt;30,
            ISNUMBER(FIND("12x36",E26))),
         80,
         40),      ""))</f>
        <v/>
      </c>
      <c r="F109" s="418" t="str">
        <f t="shared" ref="F109:X109" si="56">IF(F23="SINDIVIGILANTES",80,
   IF(F23="SINDASSEIO",
      IF(OR(IFERROR(VALUE(LEFT(F26,FIND("h",F26)-1)),0)&gt;30,
            ISNUMBER(FIND("12x36",F26))),
         80,
         40),      ""))</f>
        <v/>
      </c>
      <c r="G109" s="418" t="str">
        <f t="shared" si="56"/>
        <v/>
      </c>
      <c r="H109" s="418" t="str">
        <f t="shared" si="56"/>
        <v/>
      </c>
      <c r="I109" s="418" t="str">
        <f t="shared" si="56"/>
        <v/>
      </c>
      <c r="J109" s="418" t="str">
        <f t="shared" si="56"/>
        <v/>
      </c>
      <c r="K109" s="418" t="str">
        <f t="shared" si="56"/>
        <v/>
      </c>
      <c r="L109" s="418" t="str">
        <f t="shared" si="56"/>
        <v/>
      </c>
      <c r="M109" s="418" t="str">
        <f t="shared" si="56"/>
        <v/>
      </c>
      <c r="N109" s="418" t="str">
        <f t="shared" si="56"/>
        <v/>
      </c>
      <c r="O109" s="418" t="str">
        <f t="shared" si="56"/>
        <v/>
      </c>
      <c r="P109" s="418" t="str">
        <f t="shared" si="56"/>
        <v/>
      </c>
      <c r="Q109" s="418" t="str">
        <f t="shared" si="56"/>
        <v/>
      </c>
      <c r="R109" s="418" t="str">
        <f t="shared" si="56"/>
        <v/>
      </c>
      <c r="S109" s="418" t="str">
        <f t="shared" si="56"/>
        <v/>
      </c>
      <c r="T109" s="418" t="str">
        <f t="shared" si="56"/>
        <v/>
      </c>
      <c r="U109" s="418" t="str">
        <f t="shared" si="56"/>
        <v/>
      </c>
      <c r="V109" s="418" t="str">
        <f t="shared" si="56"/>
        <v/>
      </c>
      <c r="W109" s="418" t="str">
        <f t="shared" si="56"/>
        <v/>
      </c>
      <c r="X109" s="418" t="str">
        <f t="shared" si="56"/>
        <v/>
      </c>
    </row>
    <row r="110" spans="1:24">
      <c r="A110" s="74"/>
      <c r="B110" s="799"/>
      <c r="C110" s="672" t="s">
        <v>273</v>
      </c>
      <c r="D110" s="673"/>
      <c r="E110" s="642"/>
      <c r="F110" s="642"/>
      <c r="G110" s="642"/>
      <c r="H110" s="642"/>
      <c r="I110" s="642"/>
      <c r="J110" s="642"/>
      <c r="K110" s="642"/>
      <c r="L110" s="642"/>
      <c r="M110" s="642"/>
      <c r="N110" s="642"/>
      <c r="O110" s="642"/>
      <c r="P110" s="642"/>
      <c r="Q110" s="642"/>
      <c r="R110" s="642"/>
      <c r="S110" s="642"/>
      <c r="T110" s="642"/>
      <c r="U110" s="642"/>
      <c r="V110" s="642"/>
      <c r="W110" s="642"/>
      <c r="X110" s="642"/>
    </row>
    <row r="111" spans="1:24">
      <c r="A111" s="74"/>
      <c r="B111" s="799"/>
      <c r="C111" s="672" t="s">
        <v>272</v>
      </c>
      <c r="D111" s="673"/>
      <c r="E111" s="642"/>
      <c r="F111" s="642"/>
      <c r="G111" s="642"/>
      <c r="H111" s="642"/>
      <c r="I111" s="642"/>
      <c r="J111" s="642"/>
      <c r="K111" s="642"/>
      <c r="L111" s="642"/>
      <c r="M111" s="642"/>
      <c r="N111" s="642"/>
      <c r="O111" s="642"/>
      <c r="P111" s="642"/>
      <c r="Q111" s="642"/>
      <c r="R111" s="642"/>
      <c r="S111" s="642"/>
      <c r="T111" s="642"/>
      <c r="U111" s="642"/>
      <c r="V111" s="642"/>
      <c r="W111" s="642"/>
      <c r="X111" s="642"/>
    </row>
    <row r="112" spans="1:24">
      <c r="A112" s="74"/>
      <c r="B112" s="799"/>
      <c r="C112" s="672" t="s">
        <v>273</v>
      </c>
      <c r="D112" s="673"/>
      <c r="E112" s="642"/>
      <c r="F112" s="642"/>
      <c r="G112" s="642"/>
      <c r="H112" s="642"/>
      <c r="I112" s="642"/>
      <c r="J112" s="642"/>
      <c r="K112" s="642"/>
      <c r="L112" s="642"/>
      <c r="M112" s="642"/>
      <c r="N112" s="642"/>
      <c r="O112" s="642"/>
      <c r="P112" s="642"/>
      <c r="Q112" s="642"/>
      <c r="R112" s="642"/>
      <c r="S112" s="642"/>
      <c r="T112" s="642"/>
      <c r="U112" s="642"/>
      <c r="V112" s="642"/>
      <c r="W112" s="642"/>
      <c r="X112" s="642"/>
    </row>
    <row r="113" spans="1:24">
      <c r="A113" s="74"/>
      <c r="B113" s="800"/>
      <c r="C113" s="97"/>
      <c r="D113" s="682" t="s">
        <v>41</v>
      </c>
      <c r="E113" s="209">
        <f>IF(COUNTA(E109,E111)=0,"",IFERROR(E109*(1-E110),0)+IFERROR(E111*(1-E112),0))</f>
        <v>0</v>
      </c>
      <c r="F113" s="209">
        <f t="shared" ref="F113:X113" si="57">IF(COUNTA(F109,F111)=0,"",IFERROR(F109*(1-F110),0)+IFERROR(F111*(1-F112),0))</f>
        <v>0</v>
      </c>
      <c r="G113" s="209">
        <f t="shared" si="57"/>
        <v>0</v>
      </c>
      <c r="H113" s="209">
        <f t="shared" si="57"/>
        <v>0</v>
      </c>
      <c r="I113" s="209">
        <f t="shared" si="57"/>
        <v>0</v>
      </c>
      <c r="J113" s="209">
        <f t="shared" si="57"/>
        <v>0</v>
      </c>
      <c r="K113" s="209">
        <f t="shared" si="57"/>
        <v>0</v>
      </c>
      <c r="L113" s="209">
        <f t="shared" si="57"/>
        <v>0</v>
      </c>
      <c r="M113" s="209">
        <f t="shared" si="57"/>
        <v>0</v>
      </c>
      <c r="N113" s="209">
        <f t="shared" si="57"/>
        <v>0</v>
      </c>
      <c r="O113" s="209">
        <f t="shared" si="57"/>
        <v>0</v>
      </c>
      <c r="P113" s="209">
        <f t="shared" si="57"/>
        <v>0</v>
      </c>
      <c r="Q113" s="209">
        <f t="shared" si="57"/>
        <v>0</v>
      </c>
      <c r="R113" s="209">
        <f t="shared" si="57"/>
        <v>0</v>
      </c>
      <c r="S113" s="209">
        <f t="shared" si="57"/>
        <v>0</v>
      </c>
      <c r="T113" s="209">
        <f t="shared" si="57"/>
        <v>0</v>
      </c>
      <c r="U113" s="209">
        <f t="shared" si="57"/>
        <v>0</v>
      </c>
      <c r="V113" s="209">
        <f t="shared" si="57"/>
        <v>0</v>
      </c>
      <c r="W113" s="209">
        <f t="shared" si="57"/>
        <v>0</v>
      </c>
      <c r="X113" s="209">
        <f t="shared" si="57"/>
        <v>0</v>
      </c>
    </row>
    <row r="114" spans="1:24" s="5" customFormat="1">
      <c r="A114" s="76"/>
      <c r="B114" s="189"/>
      <c r="C114" s="190" t="s">
        <v>117</v>
      </c>
      <c r="D114" s="191"/>
      <c r="E114" s="192">
        <f t="shared" ref="E114:X114" si="58">IF(E21="","",SUM(E91,E96,E100,E101,E102,E106,E107,E113))</f>
        <v>657.16859999999997</v>
      </c>
      <c r="F114" s="192" t="str">
        <f t="shared" si="58"/>
        <v/>
      </c>
      <c r="G114" s="192" t="str">
        <f t="shared" si="58"/>
        <v/>
      </c>
      <c r="H114" s="192" t="str">
        <f t="shared" si="58"/>
        <v/>
      </c>
      <c r="I114" s="192" t="str">
        <f t="shared" si="58"/>
        <v/>
      </c>
      <c r="J114" s="192" t="str">
        <f t="shared" si="58"/>
        <v/>
      </c>
      <c r="K114" s="192" t="str">
        <f t="shared" si="58"/>
        <v/>
      </c>
      <c r="L114" s="192" t="str">
        <f t="shared" si="58"/>
        <v/>
      </c>
      <c r="M114" s="192" t="str">
        <f t="shared" si="58"/>
        <v/>
      </c>
      <c r="N114" s="192" t="str">
        <f t="shared" si="58"/>
        <v/>
      </c>
      <c r="O114" s="192" t="str">
        <f t="shared" si="58"/>
        <v/>
      </c>
      <c r="P114" s="192" t="str">
        <f t="shared" si="58"/>
        <v/>
      </c>
      <c r="Q114" s="192" t="str">
        <f t="shared" si="58"/>
        <v/>
      </c>
      <c r="R114" s="192" t="str">
        <f t="shared" si="58"/>
        <v/>
      </c>
      <c r="S114" s="192" t="str">
        <f t="shared" si="58"/>
        <v/>
      </c>
      <c r="T114" s="192" t="str">
        <f t="shared" si="58"/>
        <v/>
      </c>
      <c r="U114" s="192" t="str">
        <f t="shared" si="58"/>
        <v/>
      </c>
      <c r="V114" s="192" t="str">
        <f t="shared" si="58"/>
        <v/>
      </c>
      <c r="W114" s="192" t="str">
        <f t="shared" si="58"/>
        <v/>
      </c>
      <c r="X114" s="192" t="str">
        <f t="shared" si="58"/>
        <v/>
      </c>
    </row>
    <row r="115" spans="1:24" customFormat="1" ht="3.75" customHeight="1"/>
    <row r="116" spans="1:24" s="5" customFormat="1">
      <c r="A116" s="73"/>
      <c r="B116" s="157"/>
      <c r="C116" s="90" t="s">
        <v>115</v>
      </c>
      <c r="D116" s="153"/>
      <c r="E116" s="154">
        <f t="shared" ref="E116:X116" si="59">IF(E21="","",IFERROR(SUM(E114,E83,E69),""))</f>
        <v>2115.6975192</v>
      </c>
      <c r="F116" s="155" t="str">
        <f t="shared" si="59"/>
        <v/>
      </c>
      <c r="G116" s="452" t="str">
        <f t="shared" si="59"/>
        <v/>
      </c>
      <c r="H116" s="155" t="str">
        <f t="shared" si="59"/>
        <v/>
      </c>
      <c r="I116" s="155" t="str">
        <f t="shared" si="59"/>
        <v/>
      </c>
      <c r="J116" s="155" t="str">
        <f t="shared" si="59"/>
        <v/>
      </c>
      <c r="K116" s="155" t="str">
        <f t="shared" si="59"/>
        <v/>
      </c>
      <c r="L116" s="155" t="str">
        <f t="shared" si="59"/>
        <v/>
      </c>
      <c r="M116" s="155" t="str">
        <f t="shared" si="59"/>
        <v/>
      </c>
      <c r="N116" s="155" t="str">
        <f t="shared" si="59"/>
        <v/>
      </c>
      <c r="O116" s="155" t="str">
        <f t="shared" si="59"/>
        <v/>
      </c>
      <c r="P116" s="155" t="str">
        <f t="shared" si="59"/>
        <v/>
      </c>
      <c r="Q116" s="155" t="str">
        <f t="shared" si="59"/>
        <v/>
      </c>
      <c r="R116" s="155" t="str">
        <f t="shared" si="59"/>
        <v/>
      </c>
      <c r="S116" s="155" t="str">
        <f t="shared" si="59"/>
        <v/>
      </c>
      <c r="T116" s="155" t="str">
        <f t="shared" si="59"/>
        <v/>
      </c>
      <c r="U116" s="155" t="str">
        <f t="shared" si="59"/>
        <v/>
      </c>
      <c r="V116" s="155" t="str">
        <f t="shared" si="59"/>
        <v/>
      </c>
      <c r="W116" s="155" t="str">
        <f t="shared" si="59"/>
        <v/>
      </c>
      <c r="X116" s="155" t="str">
        <f t="shared" si="59"/>
        <v/>
      </c>
    </row>
    <row r="117" spans="1:24" s="6" customFormat="1">
      <c r="B117" s="7"/>
      <c r="C117" s="7"/>
      <c r="D117" s="7"/>
      <c r="E117" s="8"/>
      <c r="F117" s="8"/>
      <c r="G117" s="8"/>
      <c r="H117" s="8"/>
      <c r="I117" s="8"/>
      <c r="J117" s="8"/>
      <c r="K117" s="8"/>
      <c r="L117" s="8"/>
      <c r="M117" s="8"/>
      <c r="N117" s="8"/>
      <c r="O117" s="8"/>
      <c r="P117" s="8"/>
      <c r="Q117" s="8"/>
      <c r="R117" s="8"/>
      <c r="S117" s="8"/>
      <c r="T117" s="8"/>
      <c r="U117" s="8"/>
      <c r="V117" s="8"/>
      <c r="W117" s="8"/>
      <c r="X117" s="8"/>
    </row>
    <row r="118" spans="1:24" s="6" customFormat="1">
      <c r="A118" s="74"/>
      <c r="B118" s="89"/>
      <c r="C118" s="90" t="s">
        <v>127</v>
      </c>
      <c r="D118" s="91"/>
      <c r="E118" s="369"/>
      <c r="F118" s="451"/>
      <c r="G118" s="369"/>
      <c r="H118" s="369"/>
      <c r="I118" s="369"/>
      <c r="J118" s="369"/>
      <c r="K118" s="369"/>
      <c r="L118" s="369"/>
      <c r="M118" s="369"/>
      <c r="N118" s="369"/>
      <c r="O118" s="369"/>
      <c r="P118" s="369"/>
      <c r="Q118" s="369"/>
      <c r="R118" s="369"/>
      <c r="S118" s="369"/>
      <c r="T118" s="369"/>
      <c r="U118" s="369"/>
      <c r="V118" s="369"/>
      <c r="W118" s="369"/>
      <c r="X118" s="369"/>
    </row>
    <row r="119" spans="1:24" s="13" customFormat="1">
      <c r="A119" s="77"/>
      <c r="B119" s="87" t="s">
        <v>2</v>
      </c>
      <c r="C119" s="88" t="s">
        <v>221</v>
      </c>
      <c r="D119" s="406">
        <f>INDEX('Apoio - Notas Explicativas'!Q:Q,MATCH(C119,'Apoio - Notas Explicativas'!C:C,0))</f>
        <v>4.1999999999999997E-3</v>
      </c>
      <c r="E119" s="99">
        <f t="shared" ref="E119:T124" si="60">IFERROR($D119*E$61,"")</f>
        <v>9.6621789599999985</v>
      </c>
      <c r="F119" s="99" t="str">
        <f t="shared" si="60"/>
        <v/>
      </c>
      <c r="G119" s="99" t="str">
        <f t="shared" si="60"/>
        <v/>
      </c>
      <c r="H119" s="99" t="str">
        <f t="shared" si="60"/>
        <v/>
      </c>
      <c r="I119" s="99" t="str">
        <f t="shared" si="60"/>
        <v/>
      </c>
      <c r="J119" s="99" t="str">
        <f t="shared" si="60"/>
        <v/>
      </c>
      <c r="K119" s="99" t="str">
        <f t="shared" si="60"/>
        <v/>
      </c>
      <c r="L119" s="99" t="str">
        <f t="shared" si="60"/>
        <v/>
      </c>
      <c r="M119" s="99" t="str">
        <f t="shared" si="60"/>
        <v/>
      </c>
      <c r="N119" s="99" t="str">
        <f t="shared" si="60"/>
        <v/>
      </c>
      <c r="O119" s="99" t="str">
        <f t="shared" si="60"/>
        <v/>
      </c>
      <c r="P119" s="99" t="str">
        <f t="shared" si="60"/>
        <v/>
      </c>
      <c r="Q119" s="99" t="str">
        <f t="shared" si="60"/>
        <v/>
      </c>
      <c r="R119" s="99" t="str">
        <f t="shared" si="60"/>
        <v/>
      </c>
      <c r="S119" s="99" t="str">
        <f t="shared" si="60"/>
        <v/>
      </c>
      <c r="T119" s="99" t="str">
        <f t="shared" si="60"/>
        <v/>
      </c>
      <c r="U119" s="99" t="str">
        <f t="shared" ref="O119:X124" si="61">IFERROR($D119*U$61,"")</f>
        <v/>
      </c>
      <c r="V119" s="99" t="str">
        <f t="shared" si="61"/>
        <v/>
      </c>
      <c r="W119" s="99" t="str">
        <f t="shared" si="61"/>
        <v/>
      </c>
      <c r="X119" s="99" t="str">
        <f t="shared" si="61"/>
        <v/>
      </c>
    </row>
    <row r="120" spans="1:24" s="13" customFormat="1">
      <c r="A120" s="77"/>
      <c r="B120" s="87" t="s">
        <v>1</v>
      </c>
      <c r="C120" s="88" t="s">
        <v>31</v>
      </c>
      <c r="D120" s="406">
        <f>INDEX('Apoio - Notas Explicativas'!Q:Q,MATCH(C120,'Apoio - Notas Explicativas'!C:C,0))</f>
        <v>2.9999999999999997E-4</v>
      </c>
      <c r="E120" s="99">
        <f t="shared" si="60"/>
        <v>0.69015563999999985</v>
      </c>
      <c r="F120" s="99" t="str">
        <f t="shared" si="60"/>
        <v/>
      </c>
      <c r="G120" s="99" t="str">
        <f t="shared" si="60"/>
        <v/>
      </c>
      <c r="H120" s="99" t="str">
        <f t="shared" si="60"/>
        <v/>
      </c>
      <c r="I120" s="99" t="str">
        <f t="shared" si="60"/>
        <v/>
      </c>
      <c r="J120" s="99" t="str">
        <f t="shared" si="60"/>
        <v/>
      </c>
      <c r="K120" s="99" t="str">
        <f t="shared" si="60"/>
        <v/>
      </c>
      <c r="L120" s="99" t="str">
        <f t="shared" si="60"/>
        <v/>
      </c>
      <c r="M120" s="99" t="str">
        <f t="shared" si="60"/>
        <v/>
      </c>
      <c r="N120" s="99" t="str">
        <f t="shared" si="60"/>
        <v/>
      </c>
      <c r="O120" s="99" t="str">
        <f t="shared" si="61"/>
        <v/>
      </c>
      <c r="P120" s="99" t="str">
        <f t="shared" si="61"/>
        <v/>
      </c>
      <c r="Q120" s="99" t="str">
        <f t="shared" si="61"/>
        <v/>
      </c>
      <c r="R120" s="99" t="str">
        <f t="shared" si="61"/>
        <v/>
      </c>
      <c r="S120" s="99" t="str">
        <f t="shared" si="61"/>
        <v/>
      </c>
      <c r="T120" s="99" t="str">
        <f t="shared" si="61"/>
        <v/>
      </c>
      <c r="U120" s="99" t="str">
        <f t="shared" si="61"/>
        <v/>
      </c>
      <c r="V120" s="99" t="str">
        <f t="shared" si="61"/>
        <v/>
      </c>
      <c r="W120" s="99" t="str">
        <f t="shared" si="61"/>
        <v/>
      </c>
      <c r="X120" s="99" t="str">
        <f t="shared" si="61"/>
        <v/>
      </c>
    </row>
    <row r="121" spans="1:24" s="13" customFormat="1">
      <c r="A121" s="77"/>
      <c r="B121" s="87" t="s">
        <v>0</v>
      </c>
      <c r="C121" s="88" t="s">
        <v>553</v>
      </c>
      <c r="D121" s="406">
        <f>INDEX('Apoio - Notas Explicativas'!Q:Q,MATCH(C121,'Apoio - Notas Explicativas'!C:C,0))</f>
        <v>1E-4</v>
      </c>
      <c r="E121" s="99">
        <f t="shared" si="60"/>
        <v>0.23005187999999999</v>
      </c>
      <c r="F121" s="99" t="str">
        <f t="shared" si="60"/>
        <v/>
      </c>
      <c r="G121" s="99" t="str">
        <f t="shared" si="60"/>
        <v/>
      </c>
      <c r="H121" s="99" t="str">
        <f t="shared" si="60"/>
        <v/>
      </c>
      <c r="I121" s="99" t="str">
        <f t="shared" si="60"/>
        <v/>
      </c>
      <c r="J121" s="99" t="str">
        <f t="shared" si="60"/>
        <v/>
      </c>
      <c r="K121" s="99" t="str">
        <f t="shared" si="60"/>
        <v/>
      </c>
      <c r="L121" s="99" t="str">
        <f t="shared" si="60"/>
        <v/>
      </c>
      <c r="M121" s="99" t="str">
        <f t="shared" si="60"/>
        <v/>
      </c>
      <c r="N121" s="99" t="str">
        <f t="shared" si="60"/>
        <v/>
      </c>
      <c r="O121" s="99" t="str">
        <f t="shared" si="61"/>
        <v/>
      </c>
      <c r="P121" s="99" t="str">
        <f t="shared" si="61"/>
        <v/>
      </c>
      <c r="Q121" s="99" t="str">
        <f t="shared" si="61"/>
        <v/>
      </c>
      <c r="R121" s="99" t="str">
        <f t="shared" si="61"/>
        <v/>
      </c>
      <c r="S121" s="99" t="str">
        <f t="shared" si="61"/>
        <v/>
      </c>
      <c r="T121" s="99" t="str">
        <f t="shared" si="61"/>
        <v/>
      </c>
      <c r="U121" s="99" t="str">
        <f t="shared" si="61"/>
        <v/>
      </c>
      <c r="V121" s="99" t="str">
        <f t="shared" si="61"/>
        <v/>
      </c>
      <c r="W121" s="99" t="str">
        <f t="shared" si="61"/>
        <v/>
      </c>
      <c r="X121" s="99" t="str">
        <f t="shared" si="61"/>
        <v/>
      </c>
    </row>
    <row r="122" spans="1:24" s="13" customFormat="1">
      <c r="A122" s="77"/>
      <c r="B122" s="87" t="s">
        <v>3</v>
      </c>
      <c r="C122" s="88" t="s">
        <v>32</v>
      </c>
      <c r="D122" s="406">
        <f>INDEX('Apoio - Notas Explicativas'!Q:Q,MATCH(C122,'Apoio - Notas Explicativas'!C:C,0))</f>
        <v>1.9199999999999998E-2</v>
      </c>
      <c r="E122" s="99">
        <f>IFERROR($D122*E$61,"")</f>
        <v>44.16996095999999</v>
      </c>
      <c r="F122" s="99" t="str">
        <f t="shared" si="60"/>
        <v/>
      </c>
      <c r="G122" s="99" t="str">
        <f t="shared" si="60"/>
        <v/>
      </c>
      <c r="H122" s="99" t="str">
        <f t="shared" si="60"/>
        <v/>
      </c>
      <c r="I122" s="99" t="str">
        <f t="shared" si="60"/>
        <v/>
      </c>
      <c r="J122" s="99" t="str">
        <f t="shared" si="60"/>
        <v/>
      </c>
      <c r="K122" s="99" t="str">
        <f t="shared" si="60"/>
        <v/>
      </c>
      <c r="L122" s="99" t="str">
        <f t="shared" si="60"/>
        <v/>
      </c>
      <c r="M122" s="99" t="str">
        <f t="shared" si="60"/>
        <v/>
      </c>
      <c r="N122" s="99" t="str">
        <f t="shared" si="60"/>
        <v/>
      </c>
      <c r="O122" s="99" t="str">
        <f t="shared" si="61"/>
        <v/>
      </c>
      <c r="P122" s="99" t="str">
        <f t="shared" si="61"/>
        <v/>
      </c>
      <c r="Q122" s="99" t="str">
        <f t="shared" si="61"/>
        <v/>
      </c>
      <c r="R122" s="99" t="str">
        <f t="shared" si="61"/>
        <v/>
      </c>
      <c r="S122" s="99" t="str">
        <f t="shared" si="61"/>
        <v/>
      </c>
      <c r="T122" s="99" t="str">
        <f t="shared" si="61"/>
        <v/>
      </c>
      <c r="U122" s="99" t="str">
        <f t="shared" si="61"/>
        <v/>
      </c>
      <c r="V122" s="99" t="str">
        <f t="shared" si="61"/>
        <v/>
      </c>
      <c r="W122" s="99" t="str">
        <f t="shared" si="61"/>
        <v/>
      </c>
      <c r="X122" s="99" t="str">
        <f t="shared" si="61"/>
        <v/>
      </c>
    </row>
    <row r="123" spans="1:24" s="13" customFormat="1">
      <c r="A123" s="77"/>
      <c r="B123" s="87" t="s">
        <v>7</v>
      </c>
      <c r="C123" s="88" t="s">
        <v>33</v>
      </c>
      <c r="D123" s="406">
        <f>INDEX('Apoio - Notas Explicativas'!Q:Q,MATCH(C123,'Apoio - Notas Explicativas'!C:C,0))</f>
        <v>7.1000000000000004E-3</v>
      </c>
      <c r="E123" s="99">
        <f t="shared" si="60"/>
        <v>16.333683480000001</v>
      </c>
      <c r="F123" s="99" t="str">
        <f t="shared" si="60"/>
        <v/>
      </c>
      <c r="G123" s="99" t="str">
        <f t="shared" si="60"/>
        <v/>
      </c>
      <c r="H123" s="99" t="str">
        <f t="shared" si="60"/>
        <v/>
      </c>
      <c r="I123" s="99" t="str">
        <f t="shared" si="60"/>
        <v/>
      </c>
      <c r="J123" s="99" t="str">
        <f t="shared" si="60"/>
        <v/>
      </c>
      <c r="K123" s="99" t="str">
        <f t="shared" si="60"/>
        <v/>
      </c>
      <c r="L123" s="99" t="str">
        <f t="shared" si="60"/>
        <v/>
      </c>
      <c r="M123" s="99" t="str">
        <f t="shared" si="60"/>
        <v/>
      </c>
      <c r="N123" s="99" t="str">
        <f t="shared" si="60"/>
        <v/>
      </c>
      <c r="O123" s="99" t="str">
        <f t="shared" si="61"/>
        <v/>
      </c>
      <c r="P123" s="99" t="str">
        <f t="shared" si="61"/>
        <v/>
      </c>
      <c r="Q123" s="99" t="str">
        <f t="shared" si="61"/>
        <v/>
      </c>
      <c r="R123" s="99" t="str">
        <f t="shared" si="61"/>
        <v/>
      </c>
      <c r="S123" s="99" t="str">
        <f t="shared" si="61"/>
        <v/>
      </c>
      <c r="T123" s="99" t="str">
        <f t="shared" si="61"/>
        <v/>
      </c>
      <c r="U123" s="99" t="str">
        <f t="shared" si="61"/>
        <v/>
      </c>
      <c r="V123" s="99" t="str">
        <f t="shared" si="61"/>
        <v/>
      </c>
      <c r="W123" s="99" t="str">
        <f t="shared" si="61"/>
        <v/>
      </c>
      <c r="X123" s="99" t="str">
        <f t="shared" si="61"/>
        <v/>
      </c>
    </row>
    <row r="124" spans="1:24" s="13" customFormat="1">
      <c r="A124" s="77"/>
      <c r="B124" s="87" t="s">
        <v>6</v>
      </c>
      <c r="C124" s="88" t="s">
        <v>34</v>
      </c>
      <c r="D124" s="406">
        <f>INDEX('Apoio - Notas Explicativas'!Q:Q,MATCH(C124,'Apoio - Notas Explicativas'!C:C,0))</f>
        <v>0.04</v>
      </c>
      <c r="E124" s="99">
        <f t="shared" si="60"/>
        <v>92.020752000000002</v>
      </c>
      <c r="F124" s="99" t="str">
        <f t="shared" si="60"/>
        <v/>
      </c>
      <c r="G124" s="99" t="str">
        <f t="shared" si="60"/>
        <v/>
      </c>
      <c r="H124" s="99" t="str">
        <f t="shared" si="60"/>
        <v/>
      </c>
      <c r="I124" s="99" t="str">
        <f t="shared" si="60"/>
        <v/>
      </c>
      <c r="J124" s="99" t="str">
        <f t="shared" si="60"/>
        <v/>
      </c>
      <c r="K124" s="99" t="str">
        <f t="shared" si="60"/>
        <v/>
      </c>
      <c r="L124" s="99" t="str">
        <f t="shared" si="60"/>
        <v/>
      </c>
      <c r="M124" s="99" t="str">
        <f t="shared" si="60"/>
        <v/>
      </c>
      <c r="N124" s="99" t="str">
        <f t="shared" si="60"/>
        <v/>
      </c>
      <c r="O124" s="99" t="str">
        <f t="shared" si="61"/>
        <v/>
      </c>
      <c r="P124" s="99" t="str">
        <f t="shared" si="61"/>
        <v/>
      </c>
      <c r="Q124" s="99" t="str">
        <f t="shared" si="61"/>
        <v/>
      </c>
      <c r="R124" s="99" t="str">
        <f t="shared" si="61"/>
        <v/>
      </c>
      <c r="S124" s="99" t="str">
        <f t="shared" si="61"/>
        <v/>
      </c>
      <c r="T124" s="99" t="str">
        <f t="shared" si="61"/>
        <v/>
      </c>
      <c r="U124" s="99" t="str">
        <f t="shared" si="61"/>
        <v/>
      </c>
      <c r="V124" s="99" t="str">
        <f t="shared" si="61"/>
        <v/>
      </c>
      <c r="W124" s="99" t="str">
        <f t="shared" si="61"/>
        <v/>
      </c>
      <c r="X124" s="99" t="str">
        <f t="shared" si="61"/>
        <v/>
      </c>
    </row>
    <row r="125" spans="1:24" s="5" customFormat="1">
      <c r="A125" s="73"/>
      <c r="B125" s="157"/>
      <c r="C125" s="90" t="s">
        <v>116</v>
      </c>
      <c r="D125" s="153"/>
      <c r="E125" s="155">
        <f>IF(SUM(E119:E124)=0,"",SUM(E119:E124))</f>
        <v>163.10678292</v>
      </c>
      <c r="F125" s="155" t="str">
        <f t="shared" ref="F125:H125" si="62">IF(SUM(F119:F124)=0,"",SUM(F119:F124))</f>
        <v/>
      </c>
      <c r="G125" s="155" t="str">
        <f t="shared" si="62"/>
        <v/>
      </c>
      <c r="H125" s="155" t="str">
        <f t="shared" si="62"/>
        <v/>
      </c>
      <c r="I125" s="155" t="str">
        <f t="shared" ref="I125:N125" si="63">IF(SUM(I119:I124)=0,"",SUM(I119:I124))</f>
        <v/>
      </c>
      <c r="J125" s="155" t="str">
        <f t="shared" si="63"/>
        <v/>
      </c>
      <c r="K125" s="155" t="str">
        <f t="shared" si="63"/>
        <v/>
      </c>
      <c r="L125" s="155" t="str">
        <f t="shared" si="63"/>
        <v/>
      </c>
      <c r="M125" s="155" t="str">
        <f t="shared" si="63"/>
        <v/>
      </c>
      <c r="N125" s="155" t="str">
        <f t="shared" si="63"/>
        <v/>
      </c>
      <c r="O125" s="155" t="str">
        <f t="shared" ref="O125:X125" si="64">IF(SUM(O119:O124)=0,"",SUM(O119:O124))</f>
        <v/>
      </c>
      <c r="P125" s="155" t="str">
        <f t="shared" si="64"/>
        <v/>
      </c>
      <c r="Q125" s="155" t="str">
        <f t="shared" si="64"/>
        <v/>
      </c>
      <c r="R125" s="155" t="str">
        <f t="shared" si="64"/>
        <v/>
      </c>
      <c r="S125" s="155" t="str">
        <f t="shared" si="64"/>
        <v/>
      </c>
      <c r="T125" s="155" t="str">
        <f t="shared" si="64"/>
        <v/>
      </c>
      <c r="U125" s="155" t="str">
        <f t="shared" si="64"/>
        <v/>
      </c>
      <c r="V125" s="155" t="str">
        <f t="shared" si="64"/>
        <v/>
      </c>
      <c r="W125" s="155" t="str">
        <f t="shared" si="64"/>
        <v/>
      </c>
      <c r="X125" s="155" t="str">
        <f t="shared" si="64"/>
        <v/>
      </c>
    </row>
    <row r="126" spans="1:24" s="18" customFormat="1">
      <c r="A126" s="17"/>
      <c r="D126" s="14"/>
      <c r="E126" s="19"/>
      <c r="F126" s="19"/>
      <c r="G126" s="19"/>
      <c r="H126" s="19"/>
      <c r="I126" s="19"/>
      <c r="J126" s="19"/>
      <c r="K126" s="19"/>
      <c r="L126" s="19"/>
      <c r="M126" s="19"/>
      <c r="N126" s="19"/>
      <c r="O126" s="19"/>
      <c r="P126" s="19"/>
      <c r="Q126" s="19"/>
      <c r="R126" s="19"/>
      <c r="S126" s="19"/>
      <c r="T126" s="19"/>
      <c r="U126" s="19"/>
      <c r="V126" s="19"/>
      <c r="W126" s="19"/>
      <c r="X126" s="19"/>
    </row>
    <row r="127" spans="1:24" s="6" customFormat="1">
      <c r="A127" s="74"/>
      <c r="B127" s="89"/>
      <c r="C127" s="90" t="s">
        <v>128</v>
      </c>
      <c r="D127" s="91"/>
      <c r="E127" s="369"/>
      <c r="F127" s="369"/>
      <c r="G127" s="369"/>
      <c r="H127" s="369"/>
      <c r="I127" s="369"/>
      <c r="J127" s="369"/>
      <c r="K127" s="369"/>
      <c r="L127" s="369"/>
      <c r="M127" s="369"/>
      <c r="N127" s="369"/>
      <c r="O127" s="369"/>
      <c r="P127" s="369"/>
      <c r="Q127" s="369"/>
      <c r="R127" s="369"/>
      <c r="S127" s="369"/>
      <c r="T127" s="369"/>
      <c r="U127" s="369"/>
      <c r="V127" s="369"/>
      <c r="W127" s="369"/>
      <c r="X127" s="369"/>
    </row>
    <row r="128" spans="1:24" customFormat="1" ht="3.75" customHeight="1"/>
    <row r="129" spans="1:28" s="6" customFormat="1">
      <c r="A129" s="75"/>
      <c r="B129" s="171"/>
      <c r="C129" s="172" t="s">
        <v>179</v>
      </c>
      <c r="D129" s="173"/>
      <c r="E129" s="176"/>
      <c r="F129" s="174"/>
      <c r="G129" s="174"/>
      <c r="H129" s="174"/>
      <c r="I129" s="174"/>
      <c r="J129" s="174"/>
      <c r="K129" s="174"/>
      <c r="L129" s="174"/>
      <c r="M129" s="174"/>
      <c r="N129" s="174"/>
      <c r="O129" s="174"/>
      <c r="P129" s="174"/>
      <c r="Q129" s="174"/>
      <c r="R129" s="174"/>
      <c r="S129" s="174"/>
      <c r="T129" s="174"/>
      <c r="U129" s="174"/>
      <c r="V129" s="174"/>
      <c r="W129" s="174"/>
      <c r="X129" s="174"/>
    </row>
    <row r="130" spans="1:28" s="13" customFormat="1">
      <c r="A130" s="78"/>
      <c r="B130" s="87" t="s">
        <v>2</v>
      </c>
      <c r="C130" s="88" t="s">
        <v>35</v>
      </c>
      <c r="D130" s="406">
        <f>INDEX('Apoio - Notas Explicativas'!$Q:$Q,MATCH(C130,'Apoio - Notas Explicativas'!$C:$C,0))</f>
        <v>1.6199999999999999E-2</v>
      </c>
      <c r="E130" s="99">
        <f t="shared" ref="E130:X130" si="65">IF(E21="","",IFERROR($D130*SUM(E$61),""))</f>
        <v>37.268404559999993</v>
      </c>
      <c r="F130" s="137" t="str">
        <f t="shared" si="65"/>
        <v/>
      </c>
      <c r="G130" s="137" t="str">
        <f t="shared" si="65"/>
        <v/>
      </c>
      <c r="H130" s="137" t="str">
        <f t="shared" si="65"/>
        <v/>
      </c>
      <c r="I130" s="137" t="str">
        <f t="shared" si="65"/>
        <v/>
      </c>
      <c r="J130" s="137" t="str">
        <f t="shared" si="65"/>
        <v/>
      </c>
      <c r="K130" s="137" t="str">
        <f t="shared" si="65"/>
        <v/>
      </c>
      <c r="L130" s="137" t="str">
        <f t="shared" si="65"/>
        <v/>
      </c>
      <c r="M130" s="137" t="str">
        <f t="shared" si="65"/>
        <v/>
      </c>
      <c r="N130" s="137" t="str">
        <f t="shared" si="65"/>
        <v/>
      </c>
      <c r="O130" s="137" t="str">
        <f t="shared" si="65"/>
        <v/>
      </c>
      <c r="P130" s="137" t="str">
        <f t="shared" si="65"/>
        <v/>
      </c>
      <c r="Q130" s="137" t="str">
        <f t="shared" si="65"/>
        <v/>
      </c>
      <c r="R130" s="137" t="str">
        <f t="shared" si="65"/>
        <v/>
      </c>
      <c r="S130" s="137" t="str">
        <f t="shared" si="65"/>
        <v/>
      </c>
      <c r="T130" s="137" t="str">
        <f t="shared" si="65"/>
        <v/>
      </c>
      <c r="U130" s="137" t="str">
        <f t="shared" si="65"/>
        <v/>
      </c>
      <c r="V130" s="137" t="str">
        <f t="shared" si="65"/>
        <v/>
      </c>
      <c r="W130" s="137" t="str">
        <f t="shared" si="65"/>
        <v/>
      </c>
      <c r="X130" s="137" t="str">
        <f t="shared" si="65"/>
        <v/>
      </c>
    </row>
    <row r="131" spans="1:28" s="13" customFormat="1">
      <c r="A131" s="78"/>
      <c r="B131" s="87" t="s">
        <v>1</v>
      </c>
      <c r="C131" s="88" t="s">
        <v>187</v>
      </c>
      <c r="D131" s="406">
        <f>INDEX('Apoio - Notas Explicativas'!$Q:$Q,MATCH(C131,'Apoio - Notas Explicativas'!$C:$C,0))</f>
        <v>1.37E-2</v>
      </c>
      <c r="E131" s="99">
        <f t="shared" ref="E131:X131" si="66">IFERROR($D131*(E61+E66+E67),"")</f>
        <v>37.644033269663993</v>
      </c>
      <c r="F131" s="137" t="str">
        <f t="shared" si="66"/>
        <v/>
      </c>
      <c r="G131" s="137" t="str">
        <f t="shared" si="66"/>
        <v/>
      </c>
      <c r="H131" s="137" t="str">
        <f t="shared" si="66"/>
        <v/>
      </c>
      <c r="I131" s="137" t="str">
        <f t="shared" si="66"/>
        <v/>
      </c>
      <c r="J131" s="137" t="str">
        <f t="shared" si="66"/>
        <v/>
      </c>
      <c r="K131" s="137" t="str">
        <f t="shared" si="66"/>
        <v/>
      </c>
      <c r="L131" s="137" t="str">
        <f t="shared" si="66"/>
        <v/>
      </c>
      <c r="M131" s="137" t="str">
        <f t="shared" si="66"/>
        <v/>
      </c>
      <c r="N131" s="137" t="str">
        <f t="shared" si="66"/>
        <v/>
      </c>
      <c r="O131" s="137" t="str">
        <f t="shared" si="66"/>
        <v/>
      </c>
      <c r="P131" s="137" t="str">
        <f t="shared" si="66"/>
        <v/>
      </c>
      <c r="Q131" s="137" t="str">
        <f t="shared" si="66"/>
        <v/>
      </c>
      <c r="R131" s="137" t="str">
        <f t="shared" si="66"/>
        <v/>
      </c>
      <c r="S131" s="137" t="str">
        <f t="shared" si="66"/>
        <v/>
      </c>
      <c r="T131" s="137" t="str">
        <f t="shared" si="66"/>
        <v/>
      </c>
      <c r="U131" s="137" t="str">
        <f t="shared" si="66"/>
        <v/>
      </c>
      <c r="V131" s="137" t="str">
        <f t="shared" si="66"/>
        <v/>
      </c>
      <c r="W131" s="137" t="str">
        <f t="shared" si="66"/>
        <v/>
      </c>
      <c r="X131" s="137" t="str">
        <f t="shared" si="66"/>
        <v/>
      </c>
    </row>
    <row r="132" spans="1:28" s="13" customFormat="1">
      <c r="A132" s="78"/>
      <c r="B132" s="87" t="s">
        <v>0</v>
      </c>
      <c r="C132" s="88" t="s">
        <v>36</v>
      </c>
      <c r="D132" s="406">
        <f>INDEX('Apoio - Notas Explicativas'!$Q:$Q,MATCH(C132,'Apoio - Notas Explicativas'!$C:$C,0))</f>
        <v>2.0000000000000001E-4</v>
      </c>
      <c r="E132" s="99">
        <f t="shared" ref="E132:X132" si="67">IFERROR($D132*(E61+E66+E67),"")</f>
        <v>0.54954793094400001</v>
      </c>
      <c r="F132" s="137" t="str">
        <f t="shared" si="67"/>
        <v/>
      </c>
      <c r="G132" s="137" t="str">
        <f t="shared" si="67"/>
        <v/>
      </c>
      <c r="H132" s="137" t="str">
        <f t="shared" si="67"/>
        <v/>
      </c>
      <c r="I132" s="137" t="str">
        <f t="shared" si="67"/>
        <v/>
      </c>
      <c r="J132" s="137" t="str">
        <f t="shared" si="67"/>
        <v/>
      </c>
      <c r="K132" s="137" t="str">
        <f t="shared" si="67"/>
        <v/>
      </c>
      <c r="L132" s="137" t="str">
        <f t="shared" si="67"/>
        <v/>
      </c>
      <c r="M132" s="137" t="str">
        <f t="shared" si="67"/>
        <v/>
      </c>
      <c r="N132" s="137" t="str">
        <f t="shared" si="67"/>
        <v/>
      </c>
      <c r="O132" s="137" t="str">
        <f t="shared" si="67"/>
        <v/>
      </c>
      <c r="P132" s="137" t="str">
        <f t="shared" si="67"/>
        <v/>
      </c>
      <c r="Q132" s="137" t="str">
        <f t="shared" si="67"/>
        <v/>
      </c>
      <c r="R132" s="137" t="str">
        <f t="shared" si="67"/>
        <v/>
      </c>
      <c r="S132" s="137" t="str">
        <f t="shared" si="67"/>
        <v/>
      </c>
      <c r="T132" s="137" t="str">
        <f t="shared" si="67"/>
        <v/>
      </c>
      <c r="U132" s="137" t="str">
        <f t="shared" si="67"/>
        <v/>
      </c>
      <c r="V132" s="137" t="str">
        <f t="shared" si="67"/>
        <v/>
      </c>
      <c r="W132" s="137" t="str">
        <f t="shared" si="67"/>
        <v/>
      </c>
      <c r="X132" s="137" t="str">
        <f t="shared" si="67"/>
        <v/>
      </c>
    </row>
    <row r="133" spans="1:28" s="13" customFormat="1">
      <c r="A133" s="78"/>
      <c r="B133" s="87" t="s">
        <v>3</v>
      </c>
      <c r="C133" s="88" t="s">
        <v>37</v>
      </c>
      <c r="D133" s="406">
        <f>INDEX('Apoio - Notas Explicativas'!$Q:$Q,MATCH(C133,'Apoio - Notas Explicativas'!$C:$C,0))</f>
        <v>8.0999999999999996E-3</v>
      </c>
      <c r="E133" s="99">
        <f t="shared" ref="E133:X133" si="68">IFERROR($D133*(E61+E66+E67),"")</f>
        <v>22.256691203231995</v>
      </c>
      <c r="F133" s="137" t="str">
        <f t="shared" si="68"/>
        <v/>
      </c>
      <c r="G133" s="137" t="str">
        <f t="shared" si="68"/>
        <v/>
      </c>
      <c r="H133" s="137" t="str">
        <f t="shared" si="68"/>
        <v/>
      </c>
      <c r="I133" s="137" t="str">
        <f t="shared" si="68"/>
        <v/>
      </c>
      <c r="J133" s="137" t="str">
        <f t="shared" si="68"/>
        <v/>
      </c>
      <c r="K133" s="137" t="str">
        <f t="shared" si="68"/>
        <v/>
      </c>
      <c r="L133" s="137" t="str">
        <f t="shared" si="68"/>
        <v/>
      </c>
      <c r="M133" s="137" t="str">
        <f t="shared" si="68"/>
        <v/>
      </c>
      <c r="N133" s="137" t="str">
        <f t="shared" si="68"/>
        <v/>
      </c>
      <c r="O133" s="137" t="str">
        <f t="shared" si="68"/>
        <v/>
      </c>
      <c r="P133" s="137" t="str">
        <f t="shared" si="68"/>
        <v/>
      </c>
      <c r="Q133" s="137" t="str">
        <f t="shared" si="68"/>
        <v/>
      </c>
      <c r="R133" s="137" t="str">
        <f t="shared" si="68"/>
        <v/>
      </c>
      <c r="S133" s="137" t="str">
        <f t="shared" si="68"/>
        <v/>
      </c>
      <c r="T133" s="137" t="str">
        <f t="shared" si="68"/>
        <v/>
      </c>
      <c r="U133" s="137" t="str">
        <f t="shared" si="68"/>
        <v/>
      </c>
      <c r="V133" s="137" t="str">
        <f t="shared" si="68"/>
        <v/>
      </c>
      <c r="W133" s="137" t="str">
        <f t="shared" si="68"/>
        <v/>
      </c>
      <c r="X133" s="137" t="str">
        <f t="shared" si="68"/>
        <v/>
      </c>
    </row>
    <row r="134" spans="1:28" s="13" customFormat="1">
      <c r="A134" s="78"/>
      <c r="B134" s="87" t="s">
        <v>7</v>
      </c>
      <c r="C134" s="88" t="s">
        <v>188</v>
      </c>
      <c r="D134" s="406">
        <f>INDEX('Apoio - Notas Explicativas'!$Q:$Q,MATCH(C134,'Apoio - Notas Explicativas'!$C:$C,0))</f>
        <v>2.9999999999999997E-4</v>
      </c>
      <c r="E134" s="99">
        <f t="shared" ref="E134:X134" si="69">IFERROR($D134*(E61+E66+E67),"")</f>
        <v>0.82432189641599984</v>
      </c>
      <c r="F134" s="137" t="str">
        <f t="shared" si="69"/>
        <v/>
      </c>
      <c r="G134" s="137" t="str">
        <f t="shared" si="69"/>
        <v/>
      </c>
      <c r="H134" s="137" t="str">
        <f t="shared" si="69"/>
        <v/>
      </c>
      <c r="I134" s="137" t="str">
        <f t="shared" si="69"/>
        <v/>
      </c>
      <c r="J134" s="137" t="str">
        <f t="shared" si="69"/>
        <v/>
      </c>
      <c r="K134" s="137" t="str">
        <f t="shared" si="69"/>
        <v/>
      </c>
      <c r="L134" s="137" t="str">
        <f t="shared" si="69"/>
        <v/>
      </c>
      <c r="M134" s="137" t="str">
        <f t="shared" si="69"/>
        <v/>
      </c>
      <c r="N134" s="137" t="str">
        <f t="shared" si="69"/>
        <v/>
      </c>
      <c r="O134" s="137" t="str">
        <f t="shared" si="69"/>
        <v/>
      </c>
      <c r="P134" s="137" t="str">
        <f t="shared" si="69"/>
        <v/>
      </c>
      <c r="Q134" s="137" t="str">
        <f t="shared" si="69"/>
        <v/>
      </c>
      <c r="R134" s="137" t="str">
        <f t="shared" si="69"/>
        <v/>
      </c>
      <c r="S134" s="137" t="str">
        <f t="shared" si="69"/>
        <v/>
      </c>
      <c r="T134" s="137" t="str">
        <f t="shared" si="69"/>
        <v/>
      </c>
      <c r="U134" s="137" t="str">
        <f t="shared" si="69"/>
        <v/>
      </c>
      <c r="V134" s="137" t="str">
        <f t="shared" si="69"/>
        <v/>
      </c>
      <c r="W134" s="137" t="str">
        <f t="shared" si="69"/>
        <v/>
      </c>
      <c r="X134" s="137" t="str">
        <f t="shared" si="69"/>
        <v/>
      </c>
      <c r="AB134" s="795"/>
    </row>
    <row r="135" spans="1:28" s="13" customFormat="1">
      <c r="A135" s="78"/>
      <c r="B135" s="87" t="s">
        <v>6</v>
      </c>
      <c r="C135" s="88" t="s">
        <v>38</v>
      </c>
      <c r="D135" s="406">
        <f>INDEX('Apoio - Notas Explicativas'!$Q:$Q,MATCH(C135,'Apoio - Notas Explicativas'!$C:$C,0))</f>
        <v>6.9999999999999999E-4</v>
      </c>
      <c r="E135" s="99">
        <f t="shared" ref="E135:X135" si="70">IFERROR((E$61+E67)*$D$135,"")</f>
        <v>1.7892745070759999</v>
      </c>
      <c r="F135" s="137" t="str">
        <f t="shared" si="70"/>
        <v/>
      </c>
      <c r="G135" s="137" t="str">
        <f t="shared" si="70"/>
        <v/>
      </c>
      <c r="H135" s="137" t="str">
        <f t="shared" si="70"/>
        <v/>
      </c>
      <c r="I135" s="137" t="str">
        <f t="shared" si="70"/>
        <v/>
      </c>
      <c r="J135" s="137" t="str">
        <f t="shared" si="70"/>
        <v/>
      </c>
      <c r="K135" s="137" t="str">
        <f t="shared" si="70"/>
        <v/>
      </c>
      <c r="L135" s="137" t="str">
        <f t="shared" si="70"/>
        <v/>
      </c>
      <c r="M135" s="137" t="str">
        <f t="shared" si="70"/>
        <v/>
      </c>
      <c r="N135" s="137" t="str">
        <f t="shared" si="70"/>
        <v/>
      </c>
      <c r="O135" s="137" t="str">
        <f t="shared" si="70"/>
        <v/>
      </c>
      <c r="P135" s="137" t="str">
        <f t="shared" si="70"/>
        <v/>
      </c>
      <c r="Q135" s="137" t="str">
        <f t="shared" si="70"/>
        <v/>
      </c>
      <c r="R135" s="137" t="str">
        <f t="shared" si="70"/>
        <v/>
      </c>
      <c r="S135" s="137" t="str">
        <f t="shared" si="70"/>
        <v/>
      </c>
      <c r="T135" s="137" t="str">
        <f t="shared" si="70"/>
        <v/>
      </c>
      <c r="U135" s="137" t="str">
        <f t="shared" si="70"/>
        <v/>
      </c>
      <c r="V135" s="137" t="str">
        <f t="shared" si="70"/>
        <v/>
      </c>
      <c r="W135" s="137" t="str">
        <f t="shared" si="70"/>
        <v/>
      </c>
      <c r="X135" s="137" t="str">
        <f t="shared" si="70"/>
        <v/>
      </c>
    </row>
    <row r="136" spans="1:28" s="13" customFormat="1">
      <c r="A136" s="78"/>
      <c r="B136" s="87" t="s">
        <v>5</v>
      </c>
      <c r="C136" s="88" t="s">
        <v>92</v>
      </c>
      <c r="D136" s="406">
        <f>SUM(D130:D135)*SUM(D81:D82,D72:D77)</f>
        <v>1.4425600000000002E-2</v>
      </c>
      <c r="E136" s="99">
        <f t="shared" ref="E136:X136" si="71">IF(E18="","",SUM(E130:E135)*SUM($D$72:$D$77,$D$81:$D$82))</f>
        <v>36.922276599178176</v>
      </c>
      <c r="F136" s="137" t="str">
        <f t="shared" si="71"/>
        <v/>
      </c>
      <c r="G136" s="137" t="str">
        <f t="shared" si="71"/>
        <v/>
      </c>
      <c r="H136" s="137" t="str">
        <f t="shared" si="71"/>
        <v/>
      </c>
      <c r="I136" s="137" t="str">
        <f t="shared" si="71"/>
        <v/>
      </c>
      <c r="J136" s="137" t="str">
        <f t="shared" si="71"/>
        <v/>
      </c>
      <c r="K136" s="137" t="str">
        <f t="shared" si="71"/>
        <v/>
      </c>
      <c r="L136" s="137" t="str">
        <f t="shared" si="71"/>
        <v/>
      </c>
      <c r="M136" s="137" t="str">
        <f t="shared" si="71"/>
        <v/>
      </c>
      <c r="N136" s="137" t="str">
        <f t="shared" si="71"/>
        <v/>
      </c>
      <c r="O136" s="137" t="str">
        <f t="shared" si="71"/>
        <v/>
      </c>
      <c r="P136" s="137" t="str">
        <f t="shared" si="71"/>
        <v/>
      </c>
      <c r="Q136" s="137" t="str">
        <f t="shared" si="71"/>
        <v/>
      </c>
      <c r="R136" s="137" t="str">
        <f t="shared" si="71"/>
        <v/>
      </c>
      <c r="S136" s="137" t="str">
        <f t="shared" si="71"/>
        <v/>
      </c>
      <c r="T136" s="137" t="str">
        <f t="shared" si="71"/>
        <v/>
      </c>
      <c r="U136" s="137" t="str">
        <f t="shared" si="71"/>
        <v/>
      </c>
      <c r="V136" s="137" t="str">
        <f t="shared" si="71"/>
        <v/>
      </c>
      <c r="W136" s="137" t="str">
        <f t="shared" si="71"/>
        <v/>
      </c>
      <c r="X136" s="137" t="str">
        <f t="shared" si="71"/>
        <v/>
      </c>
    </row>
    <row r="137" spans="1:28" s="13" customFormat="1">
      <c r="A137" s="78"/>
      <c r="B137" s="87" t="s">
        <v>4</v>
      </c>
      <c r="C137" s="88" t="s">
        <v>89</v>
      </c>
      <c r="D137" s="413">
        <f>INDEX('Apoio - Notas Explicativas'!$Q:$Q,MATCH(C137,'Apoio - Notas Explicativas'!$C:$C,0))</f>
        <v>37.96</v>
      </c>
      <c r="E137" s="99">
        <f t="shared" ref="E137:X137" si="72">IFERROR(((E114-SUM(E91,E96))/(30*12))*$D$137,"")</f>
        <v>2.6909422222222203</v>
      </c>
      <c r="F137" s="137" t="str">
        <f t="shared" si="72"/>
        <v/>
      </c>
      <c r="G137" s="137" t="str">
        <f t="shared" si="72"/>
        <v/>
      </c>
      <c r="H137" s="137" t="str">
        <f t="shared" si="72"/>
        <v/>
      </c>
      <c r="I137" s="137" t="str">
        <f t="shared" si="72"/>
        <v/>
      </c>
      <c r="J137" s="137" t="str">
        <f t="shared" si="72"/>
        <v/>
      </c>
      <c r="K137" s="137" t="str">
        <f t="shared" si="72"/>
        <v/>
      </c>
      <c r="L137" s="137" t="str">
        <f t="shared" si="72"/>
        <v/>
      </c>
      <c r="M137" s="137" t="str">
        <f t="shared" si="72"/>
        <v/>
      </c>
      <c r="N137" s="137" t="str">
        <f t="shared" si="72"/>
        <v/>
      </c>
      <c r="O137" s="137" t="str">
        <f t="shared" si="72"/>
        <v/>
      </c>
      <c r="P137" s="137" t="str">
        <f t="shared" si="72"/>
        <v/>
      </c>
      <c r="Q137" s="137" t="str">
        <f t="shared" si="72"/>
        <v/>
      </c>
      <c r="R137" s="137" t="str">
        <f t="shared" si="72"/>
        <v/>
      </c>
      <c r="S137" s="137" t="str">
        <f t="shared" si="72"/>
        <v/>
      </c>
      <c r="T137" s="137" t="str">
        <f t="shared" si="72"/>
        <v/>
      </c>
      <c r="U137" s="137" t="str">
        <f t="shared" si="72"/>
        <v/>
      </c>
      <c r="V137" s="137" t="str">
        <f t="shared" si="72"/>
        <v/>
      </c>
      <c r="W137" s="137" t="str">
        <f t="shared" si="72"/>
        <v/>
      </c>
      <c r="X137" s="137" t="str">
        <f t="shared" si="72"/>
        <v/>
      </c>
    </row>
    <row r="138" spans="1:28" s="13" customFormat="1">
      <c r="A138" s="78"/>
      <c r="B138" s="87" t="s">
        <v>113</v>
      </c>
      <c r="C138" s="88" t="s">
        <v>39</v>
      </c>
      <c r="D138" s="413">
        <f>INDEX('Apoio - Notas Explicativas'!$Q:$Q,MATCH(C138,'Apoio - Notas Explicativas'!$C:$C,0))</f>
        <v>37.96</v>
      </c>
      <c r="E138" s="99">
        <f>IFERROR(((((E$125/12)*$D$138))/30),"")</f>
        <v>17.198704110120001</v>
      </c>
      <c r="F138" s="137" t="str">
        <f t="shared" ref="F138:X138" si="73">IFERROR(((((F$125/12)*$D$138))/30),"")</f>
        <v/>
      </c>
      <c r="G138" s="137" t="str">
        <f t="shared" si="73"/>
        <v/>
      </c>
      <c r="H138" s="137" t="str">
        <f t="shared" si="73"/>
        <v/>
      </c>
      <c r="I138" s="137" t="str">
        <f t="shared" si="73"/>
        <v/>
      </c>
      <c r="J138" s="137" t="str">
        <f t="shared" si="73"/>
        <v/>
      </c>
      <c r="K138" s="137" t="str">
        <f t="shared" si="73"/>
        <v/>
      </c>
      <c r="L138" s="137" t="str">
        <f t="shared" si="73"/>
        <v/>
      </c>
      <c r="M138" s="137" t="str">
        <f t="shared" si="73"/>
        <v/>
      </c>
      <c r="N138" s="137" t="str">
        <f t="shared" si="73"/>
        <v/>
      </c>
      <c r="O138" s="137" t="str">
        <f t="shared" si="73"/>
        <v/>
      </c>
      <c r="P138" s="137" t="str">
        <f t="shared" si="73"/>
        <v/>
      </c>
      <c r="Q138" s="137" t="str">
        <f t="shared" si="73"/>
        <v/>
      </c>
      <c r="R138" s="137" t="str">
        <f t="shared" si="73"/>
        <v/>
      </c>
      <c r="S138" s="137" t="str">
        <f t="shared" si="73"/>
        <v/>
      </c>
      <c r="T138" s="137" t="str">
        <f t="shared" si="73"/>
        <v/>
      </c>
      <c r="U138" s="137" t="str">
        <f t="shared" si="73"/>
        <v/>
      </c>
      <c r="V138" s="137" t="str">
        <f t="shared" si="73"/>
        <v/>
      </c>
      <c r="W138" s="137" t="str">
        <f t="shared" si="73"/>
        <v/>
      </c>
      <c r="X138" s="137" t="str">
        <f t="shared" si="73"/>
        <v/>
      </c>
    </row>
    <row r="139" spans="1:28" s="5" customFormat="1">
      <c r="A139" s="76"/>
      <c r="B139" s="171"/>
      <c r="C139" s="172" t="s">
        <v>120</v>
      </c>
      <c r="D139" s="175"/>
      <c r="E139" s="176">
        <f>IF(SUM(E130:E138)=0,"",SUM(E130:E138))</f>
        <v>157.14419629885236</v>
      </c>
      <c r="F139" s="174" t="str">
        <f t="shared" ref="F139:H139" si="74">IF(SUM(F130:F138)=0,"",SUM(F130:F138))</f>
        <v/>
      </c>
      <c r="G139" s="176" t="str">
        <f t="shared" si="74"/>
        <v/>
      </c>
      <c r="H139" s="174" t="str">
        <f t="shared" si="74"/>
        <v/>
      </c>
      <c r="I139" s="174" t="str">
        <f t="shared" ref="I139:N139" si="75">IF(SUM(I130:I138)=0,"",SUM(I130:I138))</f>
        <v/>
      </c>
      <c r="J139" s="174" t="str">
        <f t="shared" si="75"/>
        <v/>
      </c>
      <c r="K139" s="174" t="str">
        <f t="shared" si="75"/>
        <v/>
      </c>
      <c r="L139" s="174" t="str">
        <f t="shared" si="75"/>
        <v/>
      </c>
      <c r="M139" s="174" t="str">
        <f t="shared" si="75"/>
        <v/>
      </c>
      <c r="N139" s="174" t="str">
        <f t="shared" si="75"/>
        <v/>
      </c>
      <c r="O139" s="174" t="str">
        <f t="shared" ref="O139:X139" si="76">IF(SUM(O130:O138)=0,"",SUM(O130:O138))</f>
        <v/>
      </c>
      <c r="P139" s="174" t="str">
        <f t="shared" si="76"/>
        <v/>
      </c>
      <c r="Q139" s="174" t="str">
        <f t="shared" si="76"/>
        <v/>
      </c>
      <c r="R139" s="174" t="str">
        <f t="shared" si="76"/>
        <v/>
      </c>
      <c r="S139" s="174" t="str">
        <f t="shared" si="76"/>
        <v/>
      </c>
      <c r="T139" s="174" t="str">
        <f t="shared" si="76"/>
        <v/>
      </c>
      <c r="U139" s="174" t="str">
        <f t="shared" si="76"/>
        <v/>
      </c>
      <c r="V139" s="174" t="str">
        <f t="shared" si="76"/>
        <v/>
      </c>
      <c r="W139" s="174" t="str">
        <f t="shared" si="76"/>
        <v/>
      </c>
      <c r="X139" s="174" t="str">
        <f t="shared" si="76"/>
        <v/>
      </c>
    </row>
    <row r="140" spans="1:28" customFormat="1"/>
    <row r="141" spans="1:28" s="6" customFormat="1">
      <c r="A141" s="75"/>
      <c r="B141" s="171"/>
      <c r="C141" s="172" t="s">
        <v>346</v>
      </c>
      <c r="D141" s="173"/>
      <c r="E141" s="176"/>
      <c r="F141" s="176"/>
      <c r="G141" s="176"/>
      <c r="H141" s="176"/>
      <c r="I141" s="176"/>
      <c r="J141" s="176"/>
      <c r="K141" s="176"/>
      <c r="L141" s="176"/>
      <c r="M141" s="176"/>
      <c r="N141" s="176"/>
      <c r="O141" s="176"/>
      <c r="P141" s="176"/>
      <c r="Q141" s="176"/>
      <c r="R141" s="176"/>
      <c r="S141" s="176"/>
      <c r="T141" s="176"/>
      <c r="U141" s="176"/>
      <c r="V141" s="176"/>
      <c r="W141" s="176"/>
      <c r="X141" s="176"/>
    </row>
    <row r="142" spans="1:28" s="13" customFormat="1">
      <c r="A142" s="79"/>
      <c r="B142" s="798" t="s">
        <v>2</v>
      </c>
      <c r="C142" s="135" t="s">
        <v>311</v>
      </c>
      <c r="D142" s="186"/>
      <c r="E142" s="148"/>
      <c r="F142" s="148"/>
      <c r="G142" s="148"/>
      <c r="H142" s="148"/>
      <c r="I142" s="148"/>
      <c r="J142" s="148"/>
      <c r="K142" s="148"/>
      <c r="L142" s="148"/>
      <c r="M142" s="148"/>
      <c r="N142" s="148"/>
      <c r="O142" s="148"/>
      <c r="P142" s="148"/>
      <c r="Q142" s="148"/>
      <c r="R142" s="148"/>
      <c r="S142" s="148"/>
      <c r="T142" s="148"/>
      <c r="U142" s="148"/>
      <c r="V142" s="148"/>
      <c r="W142" s="148"/>
      <c r="X142" s="148"/>
    </row>
    <row r="143" spans="1:28" s="13" customFormat="1">
      <c r="A143" s="79"/>
      <c r="B143" s="799"/>
      <c r="C143" s="136" t="s">
        <v>277</v>
      </c>
      <c r="D143" s="179"/>
      <c r="E143" s="180"/>
      <c r="F143" s="180"/>
      <c r="G143" s="180"/>
      <c r="H143" s="180"/>
      <c r="I143" s="180"/>
      <c r="J143" s="180"/>
      <c r="K143" s="180"/>
      <c r="L143" s="180"/>
      <c r="M143" s="180"/>
      <c r="N143" s="180"/>
      <c r="O143" s="180"/>
      <c r="P143" s="180"/>
      <c r="Q143" s="180"/>
      <c r="R143" s="180"/>
      <c r="S143" s="180"/>
      <c r="T143" s="180"/>
      <c r="U143" s="180"/>
      <c r="V143" s="180"/>
      <c r="W143" s="180"/>
      <c r="X143" s="180"/>
    </row>
    <row r="144" spans="1:28" s="13" customFormat="1">
      <c r="A144" s="79"/>
      <c r="B144" s="799"/>
      <c r="C144" s="136" t="s">
        <v>694</v>
      </c>
      <c r="D144" s="179"/>
      <c r="E144" s="180" t="str">
        <f>IF(E143="Indenização",60,
IF(E143="Rendição",60,""))</f>
        <v/>
      </c>
      <c r="F144" s="180" t="str">
        <f>IF(F143="Indenização",60,
IF(F143="Rendição",60,""))</f>
        <v/>
      </c>
      <c r="G144" s="180" t="str">
        <f t="shared" ref="G144:X144" si="77">IF(G143="Indenização",60,
IF(G143="Rendição",60,""))</f>
        <v/>
      </c>
      <c r="H144" s="180" t="str">
        <f t="shared" si="77"/>
        <v/>
      </c>
      <c r="I144" s="180" t="str">
        <f t="shared" si="77"/>
        <v/>
      </c>
      <c r="J144" s="180" t="str">
        <f t="shared" si="77"/>
        <v/>
      </c>
      <c r="K144" s="180" t="str">
        <f t="shared" si="77"/>
        <v/>
      </c>
      <c r="L144" s="180" t="str">
        <f t="shared" si="77"/>
        <v/>
      </c>
      <c r="M144" s="180" t="str">
        <f t="shared" si="77"/>
        <v/>
      </c>
      <c r="N144" s="180" t="str">
        <f t="shared" si="77"/>
        <v/>
      </c>
      <c r="O144" s="180" t="str">
        <f t="shared" si="77"/>
        <v/>
      </c>
      <c r="P144" s="180" t="str">
        <f t="shared" si="77"/>
        <v/>
      </c>
      <c r="Q144" s="180" t="str">
        <f t="shared" si="77"/>
        <v/>
      </c>
      <c r="R144" s="180" t="str">
        <f t="shared" si="77"/>
        <v/>
      </c>
      <c r="S144" s="180" t="str">
        <f t="shared" si="77"/>
        <v/>
      </c>
      <c r="T144" s="180" t="str">
        <f t="shared" si="77"/>
        <v/>
      </c>
      <c r="U144" s="180" t="str">
        <f t="shared" si="77"/>
        <v/>
      </c>
      <c r="V144" s="180" t="str">
        <f t="shared" si="77"/>
        <v/>
      </c>
      <c r="W144" s="180" t="str">
        <f t="shared" si="77"/>
        <v/>
      </c>
      <c r="X144" s="180" t="str">
        <f t="shared" si="77"/>
        <v/>
      </c>
    </row>
    <row r="145" spans="1:24" s="13" customFormat="1">
      <c r="A145" s="79"/>
      <c r="B145" s="800"/>
      <c r="C145" s="221"/>
      <c r="D145" s="222" t="s">
        <v>41</v>
      </c>
      <c r="E145" s="101" t="str">
        <f>IF(E143="Rendição",(((SUM(E61,E$83,E$114,E151)/VLOOKUP(E$26,'Apoio - Regime de Trabalho'!$A:$I,8,FALSE))*(E144/60))*VLOOKUP(E$26,'Apoio - Regime de Trabalho'!$A:$I,7,FALSE)),
IF(E143="Não",0,
IF(E143="Indenização",(((SUM(E32,E42)/VLOOKUP(E$26,'Apoio - Regime de Trabalho'!$A:$I,8,FALSE))*1.5*(E144/60))*VLOOKUP(E$26,'Apoio - Regime de Trabalho'!$A:$I,7,FALSE)),"")))</f>
        <v/>
      </c>
      <c r="F145" s="101" t="str">
        <f>IF(F143="Rendição",(((SUM(F61,F$83,F$114,F151)/VLOOKUP(F$26,'Apoio - Regime de Trabalho'!$A:$I,8,FALSE))*(F144/60))*VLOOKUP(F$26,'Apoio - Regime de Trabalho'!$A:$I,7,FALSE)),
IF(F143="Não",0,
IF(F143="Indenização",(((SUM(F32,F42)/VLOOKUP(F$26,'Apoio - Regime de Trabalho'!$A:$I,8,FALSE))*1.5*(F144/60))*VLOOKUP(F$26,'Apoio - Regime de Trabalho'!$A:$I,7,FALSE)),"")))</f>
        <v/>
      </c>
      <c r="G145" s="101" t="str">
        <f>IF(G143="Rendição",(((SUM(G61,G$83,G$114,G151)/VLOOKUP(G$26,'Apoio - Regime de Trabalho'!$A:$I,8,FALSE))*(G144/60))*VLOOKUP(G$26,'Apoio - Regime de Trabalho'!$A:$I,7,FALSE)),
IF(G143="Não",0,
IF(G143="Indenização",(((SUM(G32,G42)/VLOOKUP(G$26,'Apoio - Regime de Trabalho'!$A:$I,8,FALSE))*1.5*(G144/60))*VLOOKUP(G$26,'Apoio - Regime de Trabalho'!$A:$I,7,FALSE)),"")))</f>
        <v/>
      </c>
      <c r="H145" s="101" t="str">
        <f>IF(H143="Rendição",(((SUM(H61,H$83,H$114,H151)/VLOOKUP(H$26,'Apoio - Regime de Trabalho'!$A:$I,8,FALSE))*(H144/60))*VLOOKUP(H$26,'Apoio - Regime de Trabalho'!$A:$I,7,FALSE)),
IF(H143="Não",0,
IF(H143="Indenização",(((SUM(H32,H42)/VLOOKUP(H$26,'Apoio - Regime de Trabalho'!$A:$I,8,FALSE))*1.5*(H144/60))*VLOOKUP(H$26,'Apoio - Regime de Trabalho'!$A:$I,7,FALSE)),"")))</f>
        <v/>
      </c>
      <c r="I145" s="101" t="str">
        <f>IF(I143="Rendição",(((SUM(I61,I$83,I$114,I151)/VLOOKUP(I$26,'Apoio - Regime de Trabalho'!$A:$I,8,FALSE))*(I144/60))*VLOOKUP(I$26,'Apoio - Regime de Trabalho'!$A:$I,7,FALSE)),
IF(I143="Não",0,
IF(I143="Indenização",(((SUM(I32,I42)/VLOOKUP(I$26,'Apoio - Regime de Trabalho'!$A:$I,8,FALSE))*1.5*(I144/60))*VLOOKUP(I$26,'Apoio - Regime de Trabalho'!$A:$I,7,FALSE)),"")))</f>
        <v/>
      </c>
      <c r="J145" s="101" t="str">
        <f>IF(J143="Rendição",(((SUM(J61,J$83,J$114,J151)/VLOOKUP(J$26,'Apoio - Regime de Trabalho'!$A:$I,8,FALSE))*(J144/60))*VLOOKUP(J$26,'Apoio - Regime de Trabalho'!$A:$I,7,FALSE)),
IF(J143="Não",0,
IF(J143="Indenização",(((SUM(J32,J42)/VLOOKUP(J$26,'Apoio - Regime de Trabalho'!$A:$I,8,FALSE))*1.5*(J144/60))*VLOOKUP(J$26,'Apoio - Regime de Trabalho'!$A:$I,7,FALSE)),"")))</f>
        <v/>
      </c>
      <c r="K145" s="101" t="str">
        <f>IF(K143="Rendição",(((SUM(K61,K$83,K$114,K151)/VLOOKUP(K$26,'Apoio - Regime de Trabalho'!$A:$I,8,FALSE))*(K144/60))*VLOOKUP(K$26,'Apoio - Regime de Trabalho'!$A:$I,7,FALSE)),
IF(K143="Não",0,
IF(K143="Indenização",(((SUM(K32,K42)/VLOOKUP(K$26,'Apoio - Regime de Trabalho'!$A:$I,8,FALSE))*1.5*(K144/60))*VLOOKUP(K$26,'Apoio - Regime de Trabalho'!$A:$I,7,FALSE)),"")))</f>
        <v/>
      </c>
      <c r="L145" s="101" t="str">
        <f>IF(L143="Rendição",(((SUM(L61,L$83,L$114,L151)/VLOOKUP(L$26,'Apoio - Regime de Trabalho'!$A:$I,8,FALSE))*(L144/60))*VLOOKUP(L$26,'Apoio - Regime de Trabalho'!$A:$I,7,FALSE)),
IF(L143="Não",0,
IF(L143="Indenização",(((SUM(L32,L42)/VLOOKUP(L$26,'Apoio - Regime de Trabalho'!$A:$I,8,FALSE))*1.5*(L144/60))*VLOOKUP(L$26,'Apoio - Regime de Trabalho'!$A:$I,7,FALSE)),"")))</f>
        <v/>
      </c>
      <c r="M145" s="101" t="str">
        <f>IF(M143="Rendição",(((SUM(M61,M$83,M$114,M151)/VLOOKUP(M$26,'Apoio - Regime de Trabalho'!$A:$I,8,FALSE))*(M144/60))*VLOOKUP(M$26,'Apoio - Regime de Trabalho'!$A:$I,7,FALSE)),
IF(M143="Não",0,
IF(M143="Indenização",(((SUM(M32,M42)/VLOOKUP(M$26,'Apoio - Regime de Trabalho'!$A:$I,8,FALSE))*1.5*(M144/60))*VLOOKUP(M$26,'Apoio - Regime de Trabalho'!$A:$I,7,FALSE)),"")))</f>
        <v/>
      </c>
      <c r="N145" s="101" t="str">
        <f>IF(N143="Rendição",(((SUM(N61,N$83,N$114,N151)/VLOOKUP(N$26,'Apoio - Regime de Trabalho'!$A:$I,8,FALSE))*(N144/60))*VLOOKUP(N$26,'Apoio - Regime de Trabalho'!$A:$I,7,FALSE)),
IF(N143="Não",0,
IF(N143="Indenização",(((SUM(N32,N42)/VLOOKUP(N$26,'Apoio - Regime de Trabalho'!$A:$I,8,FALSE))*1.5*(N144/60))*VLOOKUP(N$26,'Apoio - Regime de Trabalho'!$A:$I,7,FALSE)),"")))</f>
        <v/>
      </c>
      <c r="O145" s="101" t="str">
        <f>IF(O143="Rendição",(((SUM(O61,O$83,O$114,O151)/VLOOKUP(O$26,'Apoio - Regime de Trabalho'!$A:$I,8,FALSE))*(O144/60))*VLOOKUP(O$26,'Apoio - Regime de Trabalho'!$A:$I,7,FALSE)),
IF(O143="Não",0,
IF(O143="Indenização",(((SUM(O32,O42)/VLOOKUP(O$26,'Apoio - Regime de Trabalho'!$A:$I,8,FALSE))*1.5*(O144/60))*VLOOKUP(O$26,'Apoio - Regime de Trabalho'!$A:$I,7,FALSE)),"")))</f>
        <v/>
      </c>
      <c r="P145" s="101" t="str">
        <f>IF(P143="Rendição",(((SUM(P61,P$83,P$114,P151)/VLOOKUP(P$26,'Apoio - Regime de Trabalho'!$A:$I,8,FALSE))*(P144/60))*VLOOKUP(P$26,'Apoio - Regime de Trabalho'!$A:$I,7,FALSE)),
IF(P143="Não",0,
IF(P143="Indenização",(((SUM(P32,P42)/VLOOKUP(P$26,'Apoio - Regime de Trabalho'!$A:$I,8,FALSE))*1.5*(P144/60))*VLOOKUP(P$26,'Apoio - Regime de Trabalho'!$A:$I,7,FALSE)),"")))</f>
        <v/>
      </c>
      <c r="Q145" s="101" t="str">
        <f>IF(Q143="Rendição",(((SUM(Q61,Q$83,Q$114,Q151)/VLOOKUP(Q$26,'Apoio - Regime de Trabalho'!$A:$I,8,FALSE))*(Q144/60))*VLOOKUP(Q$26,'Apoio - Regime de Trabalho'!$A:$I,7,FALSE)),
IF(Q143="Não",0,
IF(Q143="Indenização",(((SUM(Q32,Q42)/VLOOKUP(Q$26,'Apoio - Regime de Trabalho'!$A:$I,8,FALSE))*1.5*(Q144/60))*VLOOKUP(Q$26,'Apoio - Regime de Trabalho'!$A:$I,7,FALSE)),"")))</f>
        <v/>
      </c>
      <c r="R145" s="101" t="str">
        <f>IF(R143="Rendição",(((SUM(R61,R$83,R$114,R151)/VLOOKUP(R$26,'Apoio - Regime de Trabalho'!$A:$I,8,FALSE))*(R144/60))*VLOOKUP(R$26,'Apoio - Regime de Trabalho'!$A:$I,7,FALSE)),
IF(R143="Não",0,
IF(R143="Indenização",(((SUM(R32,R42)/VLOOKUP(R$26,'Apoio - Regime de Trabalho'!$A:$I,8,FALSE))*1.5*(R144/60))*VLOOKUP(R$26,'Apoio - Regime de Trabalho'!$A:$I,7,FALSE)),"")))</f>
        <v/>
      </c>
      <c r="S145" s="101" t="str">
        <f>IF(S143="Rendição",(((SUM(S61,S$83,S$114,S151)/VLOOKUP(S$26,'Apoio - Regime de Trabalho'!$A:$I,8,FALSE))*(S144/60))*VLOOKUP(S$26,'Apoio - Regime de Trabalho'!$A:$I,7,FALSE)),
IF(S143="Não",0,
IF(S143="Indenização",(((SUM(S32,S42)/VLOOKUP(S$26,'Apoio - Regime de Trabalho'!$A:$I,8,FALSE))*1.5*(S144/60))*VLOOKUP(S$26,'Apoio - Regime de Trabalho'!$A:$I,7,FALSE)),"")))</f>
        <v/>
      </c>
      <c r="T145" s="101" t="str">
        <f>IF(T143="Rendição",(((SUM(T61,T$83,T$114,T151)/VLOOKUP(T$26,'Apoio - Regime de Trabalho'!$A:$I,8,FALSE))*(T144/60))*VLOOKUP(T$26,'Apoio - Regime de Trabalho'!$A:$I,7,FALSE)),
IF(T143="Não",0,
IF(T143="Indenização",(((SUM(T32,T42)/VLOOKUP(T$26,'Apoio - Regime de Trabalho'!$A:$I,8,FALSE))*1.5*(T144/60))*VLOOKUP(T$26,'Apoio - Regime de Trabalho'!$A:$I,7,FALSE)),"")))</f>
        <v/>
      </c>
      <c r="U145" s="101" t="str">
        <f>IF(U143="Rendição",(((SUM(U61,U$83,U$114,U151)/VLOOKUP(U$26,'Apoio - Regime de Trabalho'!$A:$I,8,FALSE))*(U144/60))*VLOOKUP(U$26,'Apoio - Regime de Trabalho'!$A:$I,7,FALSE)),
IF(U143="Não",0,
IF(U143="Indenização",(((SUM(U32,U42)/VLOOKUP(U$26,'Apoio - Regime de Trabalho'!$A:$I,8,FALSE))*1.5*(U144/60))*VLOOKUP(U$26,'Apoio - Regime de Trabalho'!$A:$I,7,FALSE)),"")))</f>
        <v/>
      </c>
      <c r="V145" s="101" t="str">
        <f>IF(V143="Rendição",(((SUM(V61,V$83,V$114,V151)/VLOOKUP(V$26,'Apoio - Regime de Trabalho'!$A:$I,8,FALSE))*(V144/60))*VLOOKUP(V$26,'Apoio - Regime de Trabalho'!$A:$I,7,FALSE)),
IF(V143="Não",0,
IF(V143="Indenização",(((SUM(V32,V42)/VLOOKUP(V$26,'Apoio - Regime de Trabalho'!$A:$I,8,FALSE))*1.5*(V144/60))*VLOOKUP(V$26,'Apoio - Regime de Trabalho'!$A:$I,7,FALSE)),"")))</f>
        <v/>
      </c>
      <c r="W145" s="101" t="str">
        <f>IF(W143="Rendição",(((SUM(W61,W$83,W$114,W151)/VLOOKUP(W$26,'Apoio - Regime de Trabalho'!$A:$I,8,FALSE))*(W144/60))*VLOOKUP(W$26,'Apoio - Regime de Trabalho'!$A:$I,7,FALSE)),
IF(W143="Não",0,
IF(W143="Indenização",(((SUM(W32,W42)/VLOOKUP(W$26,'Apoio - Regime de Trabalho'!$A:$I,8,FALSE))*1.5*(W144/60))*VLOOKUP(W$26,'Apoio - Regime de Trabalho'!$A:$I,7,FALSE)),"")))</f>
        <v/>
      </c>
      <c r="X145" s="101" t="str">
        <f>IF(X143="Rendição",(((SUM(X61,X$83,X$114,X151)/VLOOKUP(X$26,'Apoio - Regime de Trabalho'!$A:$I,8,FALSE))*(X144/60))*VLOOKUP(X$26,'Apoio - Regime de Trabalho'!$A:$I,7,FALSE)),
IF(X143="Não",0,
IF(X143="Indenização",(((SUM(X32,X42)/VLOOKUP(X$26,'Apoio - Regime de Trabalho'!$A:$I,8,FALSE))*1.5*(X144/60))*VLOOKUP(X$26,'Apoio - Regime de Trabalho'!$A:$I,7,FALSE)),"")))</f>
        <v/>
      </c>
    </row>
    <row r="146" spans="1:24" s="5" customFormat="1">
      <c r="A146" s="76"/>
      <c r="B146" s="171"/>
      <c r="C146" s="172" t="s">
        <v>121</v>
      </c>
      <c r="D146" s="175"/>
      <c r="E146" s="174" t="str">
        <f>E145</f>
        <v/>
      </c>
      <c r="F146" s="174" t="str">
        <f t="shared" ref="F146:H146" si="78">F145</f>
        <v/>
      </c>
      <c r="G146" s="174" t="str">
        <f t="shared" si="78"/>
        <v/>
      </c>
      <c r="H146" s="174" t="str">
        <f t="shared" si="78"/>
        <v/>
      </c>
      <c r="I146" s="174" t="str">
        <f t="shared" ref="I146:N146" si="79">I145</f>
        <v/>
      </c>
      <c r="J146" s="174" t="str">
        <f t="shared" si="79"/>
        <v/>
      </c>
      <c r="K146" s="174" t="str">
        <f t="shared" si="79"/>
        <v/>
      </c>
      <c r="L146" s="174" t="str">
        <f t="shared" si="79"/>
        <v/>
      </c>
      <c r="M146" s="174" t="str">
        <f t="shared" si="79"/>
        <v/>
      </c>
      <c r="N146" s="174" t="str">
        <f t="shared" si="79"/>
        <v/>
      </c>
      <c r="O146" s="174" t="str">
        <f t="shared" ref="O146:X146" si="80">O145</f>
        <v/>
      </c>
      <c r="P146" s="174" t="str">
        <f t="shared" si="80"/>
        <v/>
      </c>
      <c r="Q146" s="174" t="str">
        <f t="shared" si="80"/>
        <v/>
      </c>
      <c r="R146" s="174" t="str">
        <f t="shared" si="80"/>
        <v/>
      </c>
      <c r="S146" s="174" t="str">
        <f t="shared" si="80"/>
        <v/>
      </c>
      <c r="T146" s="174" t="str">
        <f t="shared" si="80"/>
        <v/>
      </c>
      <c r="U146" s="174" t="str">
        <f t="shared" si="80"/>
        <v/>
      </c>
      <c r="V146" s="174" t="str">
        <f t="shared" si="80"/>
        <v/>
      </c>
      <c r="W146" s="174" t="str">
        <f t="shared" si="80"/>
        <v/>
      </c>
      <c r="X146" s="174" t="str">
        <f t="shared" si="80"/>
        <v/>
      </c>
    </row>
    <row r="147" spans="1:24" customFormat="1" ht="3.75" customHeight="1"/>
    <row r="148" spans="1:24" s="5" customFormat="1">
      <c r="A148" s="73"/>
      <c r="B148" s="157"/>
      <c r="C148" s="90" t="s">
        <v>122</v>
      </c>
      <c r="D148" s="153"/>
      <c r="E148" s="155">
        <f>IF(E146="",E139,SUM(E146,E139))</f>
        <v>157.14419629885236</v>
      </c>
      <c r="F148" s="155" t="str">
        <f t="shared" ref="F148:H148" si="81">IF(F146="",F139,SUM(F146,F139))</f>
        <v/>
      </c>
      <c r="G148" s="154" t="str">
        <f t="shared" si="81"/>
        <v/>
      </c>
      <c r="H148" s="452" t="str">
        <f t="shared" si="81"/>
        <v/>
      </c>
      <c r="I148" s="452" t="str">
        <f t="shared" ref="I148:N148" si="82">IF(I146="",I139,SUM(I146,I139))</f>
        <v/>
      </c>
      <c r="J148" s="452" t="str">
        <f t="shared" si="82"/>
        <v/>
      </c>
      <c r="K148" s="452" t="str">
        <f t="shared" si="82"/>
        <v/>
      </c>
      <c r="L148" s="452" t="str">
        <f t="shared" si="82"/>
        <v/>
      </c>
      <c r="M148" s="452" t="str">
        <f t="shared" si="82"/>
        <v/>
      </c>
      <c r="N148" s="452" t="str">
        <f t="shared" si="82"/>
        <v/>
      </c>
      <c r="O148" s="452" t="str">
        <f t="shared" ref="O148:X148" si="83">IF(O146="",O139,SUM(O146,O139))</f>
        <v/>
      </c>
      <c r="P148" s="452" t="str">
        <f t="shared" si="83"/>
        <v/>
      </c>
      <c r="Q148" s="452" t="str">
        <f t="shared" si="83"/>
        <v/>
      </c>
      <c r="R148" s="452" t="str">
        <f t="shared" si="83"/>
        <v/>
      </c>
      <c r="S148" s="452" t="str">
        <f t="shared" si="83"/>
        <v/>
      </c>
      <c r="T148" s="452" t="str">
        <f t="shared" si="83"/>
        <v/>
      </c>
      <c r="U148" s="452" t="str">
        <f t="shared" si="83"/>
        <v/>
      </c>
      <c r="V148" s="452" t="str">
        <f t="shared" si="83"/>
        <v/>
      </c>
      <c r="W148" s="452" t="str">
        <f t="shared" si="83"/>
        <v/>
      </c>
      <c r="X148" s="452" t="str">
        <f t="shared" si="83"/>
        <v/>
      </c>
    </row>
    <row r="149" spans="1:24" s="5" customFormat="1">
      <c r="B149" s="85"/>
      <c r="C149" s="15"/>
      <c r="D149" s="16"/>
      <c r="E149" s="15"/>
      <c r="F149" s="15"/>
      <c r="G149" s="15"/>
      <c r="H149" s="15"/>
      <c r="I149" s="15"/>
      <c r="J149" s="15"/>
      <c r="K149" s="15"/>
      <c r="L149" s="15"/>
      <c r="M149" s="15"/>
      <c r="N149" s="15"/>
      <c r="O149" s="15"/>
      <c r="P149" s="15"/>
      <c r="Q149" s="15"/>
      <c r="R149" s="15"/>
      <c r="S149" s="15"/>
      <c r="T149" s="15"/>
      <c r="U149" s="15"/>
      <c r="V149" s="15"/>
      <c r="W149" s="15"/>
      <c r="X149" s="15"/>
    </row>
    <row r="150" spans="1:24" s="6" customFormat="1">
      <c r="A150" s="74"/>
      <c r="B150" s="89"/>
      <c r="C150" s="90" t="s">
        <v>490</v>
      </c>
      <c r="D150" s="91"/>
      <c r="E150" s="369"/>
      <c r="F150" s="369"/>
      <c r="G150" s="369"/>
      <c r="H150" s="369"/>
      <c r="I150" s="369"/>
      <c r="J150" s="369"/>
      <c r="K150" s="369"/>
      <c r="L150" s="369"/>
      <c r="M150" s="369"/>
      <c r="N150" s="369"/>
      <c r="O150" s="369"/>
      <c r="P150" s="369"/>
      <c r="Q150" s="369"/>
      <c r="R150" s="369"/>
      <c r="S150" s="369"/>
      <c r="T150" s="369"/>
      <c r="U150" s="369"/>
      <c r="V150" s="369"/>
      <c r="W150" s="369"/>
      <c r="X150" s="369"/>
    </row>
    <row r="151" spans="1:24" s="6" customFormat="1">
      <c r="A151" s="78"/>
      <c r="B151" s="87" t="s">
        <v>2</v>
      </c>
      <c r="C151" s="312" t="s">
        <v>224</v>
      </c>
      <c r="D151" s="406"/>
      <c r="E151" s="99">
        <f>IF(E18="","",ROUND(IF($D$151&lt;&gt;"",$D$151*SUM(E61,E116,E125,E148),IFERROR('Mat Individual e Uniformes'!J4/Proposta!$J$6,"")),2))</f>
        <v>0</v>
      </c>
      <c r="F151" s="99" t="str">
        <f>IF(F18="","",ROUND(IF($D$151&lt;&gt;"",$D$151*SUM(F61,F116,F125,F148),IFERROR('Mat Individual e Uniformes'!K4/Proposta!$J$6,"")),2))</f>
        <v/>
      </c>
      <c r="G151" s="99" t="str">
        <f>IF(G18="","",ROUND(IF($D$151&lt;&gt;"",$D$151*SUM(G61,G116,G125,G148),IFERROR('Mat Individual e Uniformes'!L4/Proposta!$J$6,"")),2))</f>
        <v/>
      </c>
      <c r="H151" s="99" t="str">
        <f>IF(H18="","",ROUND(IF($D$151&lt;&gt;"",$D$151*SUM(H61,H116,H125,H148),IFERROR('Mat Individual e Uniformes'!M4/Proposta!$J$6,"")),2))</f>
        <v/>
      </c>
      <c r="I151" s="99" t="str">
        <f>IF(I18="","",ROUND(IF($D$151&lt;&gt;"",$D$151*SUM(I61,I116,I125,I148),IFERROR('Mat Individual e Uniformes'!N4/Proposta!$J$6,"")),2))</f>
        <v/>
      </c>
      <c r="J151" s="99" t="str">
        <f>IF(J18="","",ROUND(IF($D$151&lt;&gt;"",$D$151*SUM(J61,J116,J125,J148),IFERROR('Mat Individual e Uniformes'!O4/Proposta!$J$6,"")),2))</f>
        <v/>
      </c>
      <c r="K151" s="99" t="str">
        <f>IF(K18="","",ROUND(IF($D$151&lt;&gt;"",$D$151*SUM(K61,K116,K125,K148),IFERROR('Mat Individual e Uniformes'!P4/Proposta!$J$6,"")),2))</f>
        <v/>
      </c>
      <c r="L151" s="99" t="str">
        <f>IF(L18="","",ROUND(IF($D$151&lt;&gt;"",$D$151*SUM(L61,L116,L125,L148),IFERROR('Mat Individual e Uniformes'!Q4/Proposta!$J$6,"")),2))</f>
        <v/>
      </c>
      <c r="M151" s="99" t="str">
        <f>IF(M18="","",ROUND(IF($D$151&lt;&gt;"",$D$151*SUM(M61,M116,M125,M148),IFERROR('Mat Individual e Uniformes'!R4/Proposta!$J$6,"")),2))</f>
        <v/>
      </c>
      <c r="N151" s="99" t="str">
        <f>IF(N18="","",ROUND(IF($D$151&lt;&gt;"",$D$151*SUM(N61,N116,N125,N148),IFERROR('Mat Individual e Uniformes'!S4/Proposta!$J$6,"")),2))</f>
        <v/>
      </c>
      <c r="O151" s="99" t="str">
        <f>IF(O18="","",ROUND(IF($D$151&lt;&gt;"",$D$151*SUM(O61,O116,O125,O148),IFERROR('Mat Individual e Uniformes'!T4/Proposta!$J$6,"")),2))</f>
        <v/>
      </c>
      <c r="P151" s="99" t="str">
        <f>IF(P18="","",ROUND(IF($D$151&lt;&gt;"",$D$151*SUM(P61,P116,P125,P148),IFERROR('Mat Individual e Uniformes'!U4/Proposta!$J$6,"")),2))</f>
        <v/>
      </c>
      <c r="Q151" s="99" t="str">
        <f>IF(Q18="","",ROUND(IF($D$151&lt;&gt;"",$D$151*SUM(Q61,Q116,Q125,Q148),IFERROR('Mat Individual e Uniformes'!V4/Proposta!$J$6,"")),2))</f>
        <v/>
      </c>
      <c r="R151" s="99" t="str">
        <f>IF(R18="","",ROUND(IF($D$151&lt;&gt;"",$D$151*SUM(R61,R116,R125,R148),IFERROR('Mat Individual e Uniformes'!W4/Proposta!$J$6,"")),2))</f>
        <v/>
      </c>
      <c r="S151" s="99" t="str">
        <f>IF(S18="","",ROUND(IF($D$151&lt;&gt;"",$D$151*SUM(S61,S116,S125,S148),IFERROR('Mat Individual e Uniformes'!X4/Proposta!$J$6,"")),2))</f>
        <v/>
      </c>
      <c r="T151" s="99" t="str">
        <f>IF(T18="","",ROUND(IF($D$151&lt;&gt;"",$D$151*SUM(T61,T116,T125,T148),IFERROR('Mat Individual e Uniformes'!Y4/Proposta!$J$6,"")),2))</f>
        <v/>
      </c>
      <c r="U151" s="99" t="str">
        <f>IF(U18="","",ROUND(IF($D$151&lt;&gt;"",$D$151*SUM(U61,U116,U125,U148),IFERROR('Mat Individual e Uniformes'!Z4/Proposta!$J$6,"")),2))</f>
        <v/>
      </c>
      <c r="V151" s="99" t="str">
        <f>IF(V18="","",ROUND(IF($D$151&lt;&gt;"",$D$151*SUM(V61,V116,V125,V148),IFERROR('Mat Individual e Uniformes'!AA4/Proposta!$J$6,"")),2))</f>
        <v/>
      </c>
      <c r="W151" s="99" t="str">
        <f>IF(W18="","",ROUND(IF($D$151&lt;&gt;"",$D$151*SUM(W61,W116,W125,W148),IFERROR('Mat Individual e Uniformes'!AB4/Proposta!$J$6,"")),2))</f>
        <v/>
      </c>
      <c r="X151" s="99" t="str">
        <f>IF(X18="","",ROUND(IF($D$151&lt;&gt;"",$D$151*SUM(X61,X116,X125,X148),IFERROR('Mat Individual e Uniformes'!AC4/Proposta!$J$6,"")),2))</f>
        <v/>
      </c>
    </row>
    <row r="152" spans="1:24" s="6" customFormat="1" hidden="1">
      <c r="A152" s="78"/>
      <c r="B152" s="87" t="s">
        <v>1</v>
      </c>
      <c r="C152" s="312" t="s">
        <v>225</v>
      </c>
      <c r="D152" s="406"/>
      <c r="E152" s="99">
        <f>IFERROR(
        IF(OR(E18="",$D$152="Não"),       "",
        IF($D$152="Sim",                  'Mat Coletivo e Equipamentos'!$I$4/SUM($E$29:$XX$29),
        ROUND(IF($D$152&lt;&gt;"",$D$152*SUM(E61,E116,E125,E148,E151),
0),2))),0)</f>
        <v>0</v>
      </c>
      <c r="F152" s="99" t="str">
        <f>IFERROR(
        IF(OR(F18="",$D$152="Não"),       "",
        IF($D$152="Sim",                  'Mat Coletivo e Equipamentos'!$I$4/SUM($E$29:$XX$29),
        ROUND(IF($D$152&lt;&gt;"",$D$152*SUM(F61,F116,F125,F148,F151),
0),2))),0)</f>
        <v/>
      </c>
      <c r="G152" s="99" t="str">
        <f>IFERROR(
        IF(OR(G18="",$D$152="Não"),       "",
        IF($D$152="Sim",                  'Mat Coletivo e Equipamentos'!$I$4/SUM($E$29:$XX$29),
        ROUND(IF($D$152&lt;&gt;"",$D$152*SUM(G61,G116,G125,G148,G151),
0),2))),0)</f>
        <v/>
      </c>
      <c r="H152" s="99" t="str">
        <f>IFERROR(
        IF(OR(H18="",$D$152="Não"),       "",
        IF($D$152="Sim",                  'Mat Coletivo e Equipamentos'!$I$4/SUM($E$29:$XX$29),
        ROUND(IF($D$152&lt;&gt;"",$D$152*SUM(H61,H116,H125,H148,H151),
0),2))),0)</f>
        <v/>
      </c>
      <c r="I152" s="99" t="str">
        <f>IFERROR(
        IF(OR(I18="",$D$152="Não"),       "",
        IF($D$152="Sim",                  'Mat Coletivo e Equipamentos'!$I$4/SUM($E$29:$XX$29),
        ROUND(IF($D$152&lt;&gt;"",$D$152*SUM(I61,I116,I125,I148,I151),
0),2))),0)</f>
        <v/>
      </c>
      <c r="J152" s="99" t="str">
        <f>IFERROR(
        IF(OR(J18="",$D$152="Não"),       "",
        IF($D$152="Sim",                  'Mat Coletivo e Equipamentos'!$I$4/SUM($E$29:$XX$29),
        ROUND(IF($D$152&lt;&gt;"",$D$152*SUM(J61,J116,J125,J148,J151),
0),2))),0)</f>
        <v/>
      </c>
      <c r="K152" s="99" t="str">
        <f>IFERROR(
        IF(OR(K18="",$D$152="Não"),       "",
        IF($D$152="Sim",                  'Mat Coletivo e Equipamentos'!$I$4/SUM($E$29:$XX$29),
        ROUND(IF($D$152&lt;&gt;"",$D$152*SUM(K61,K116,K125,K148,K151),
0),2))),0)</f>
        <v/>
      </c>
      <c r="L152" s="99" t="str">
        <f>IFERROR(
        IF(OR(L18="",$D$152="Não"),       "",
        IF($D$152="Sim",                  'Mat Coletivo e Equipamentos'!$I$4/SUM($E$29:$XX$29),
        ROUND(IF($D$152&lt;&gt;"",$D$152*SUM(L61,L116,L125,L148,L151),
0),2))),0)</f>
        <v/>
      </c>
      <c r="M152" s="99" t="str">
        <f>IFERROR(
        IF(OR(M18="",$D$152="Não"),       "",
        IF($D$152="Sim",                  'Mat Coletivo e Equipamentos'!$I$4/SUM($E$29:$XX$29),
        ROUND(IF($D$152&lt;&gt;"",$D$152*SUM(M61,M116,M125,M148,M151),
0),2))),0)</f>
        <v/>
      </c>
      <c r="N152" s="99" t="str">
        <f>IFERROR(
        IF(OR(N18="",$D$152="Não"),       "",
        IF($D$152="Sim",                  'Mat Coletivo e Equipamentos'!$I$4/SUM($E$29:$XX$29),
        ROUND(IF($D$152&lt;&gt;"",$D$152*SUM(N61,N116,N125,N148,N151),
0),2))),0)</f>
        <v/>
      </c>
      <c r="O152" s="99" t="str">
        <f>IFERROR(
        IF(OR(O18="",$D$152="Não"),       "",
        IF($D$152="Sim",                  'Mat Coletivo e Equipamentos'!$I$4/SUM($E$29:$XX$29),
        ROUND(IF($D$152&lt;&gt;"",$D$152*SUM(O61,O116,O125,O148,O151),
0),2))),0)</f>
        <v/>
      </c>
      <c r="P152" s="99" t="str">
        <f>IFERROR(
        IF(OR(P18="",$D$152="Não"),       "",
        IF($D$152="Sim",                  'Mat Coletivo e Equipamentos'!$I$4/SUM($E$29:$XX$29),
        ROUND(IF($D$152&lt;&gt;"",$D$152*SUM(P61,P116,P125,P148,P151),
0),2))),0)</f>
        <v/>
      </c>
      <c r="Q152" s="99" t="str">
        <f>IFERROR(
        IF(OR(Q18="",$D$152="Não"),       "",
        IF($D$152="Sim",                  'Mat Coletivo e Equipamentos'!$I$4/SUM($E$29:$XX$29),
        ROUND(IF($D$152&lt;&gt;"",$D$152*SUM(Q61,Q116,Q125,Q148,Q151),
0),2))),0)</f>
        <v/>
      </c>
      <c r="R152" s="99" t="str">
        <f>IFERROR(
        IF(OR(R18="",$D$152="Não"),       "",
        IF($D$152="Sim",                  'Mat Coletivo e Equipamentos'!$I$4/SUM($E$29:$XX$29),
        ROUND(IF($D$152&lt;&gt;"",$D$152*SUM(R61,R116,R125,R148,R151),
0),2))),0)</f>
        <v/>
      </c>
      <c r="S152" s="99" t="str">
        <f>IFERROR(
        IF(OR(S18="",$D$152="Não"),       "",
        IF($D$152="Sim",                  'Mat Coletivo e Equipamentos'!$I$4/SUM($E$29:$XX$29),
        ROUND(IF($D$152&lt;&gt;"",$D$152*SUM(S61,S116,S125,S148,S151),
0),2))),0)</f>
        <v/>
      </c>
      <c r="T152" s="99" t="str">
        <f>IFERROR(
        IF(OR(T18="",$D$152="Não"),       "",
        IF($D$152="Sim",                  'Mat Coletivo e Equipamentos'!$I$4/SUM($E$29:$XX$29),
        ROUND(IF($D$152&lt;&gt;"",$D$152*SUM(T61,T116,T125,T148,T151),
0),2))),0)</f>
        <v/>
      </c>
      <c r="U152" s="99" t="str">
        <f>IFERROR(
        IF(OR(U18="",$D$152="Não"),       "",
        IF($D$152="Sim",                  'Mat Coletivo e Equipamentos'!$I$4/SUM($E$29:$XX$29),
        ROUND(IF($D$152&lt;&gt;"",$D$152*SUM(U61,U116,U125,U148,U151),
0),2))),0)</f>
        <v/>
      </c>
      <c r="V152" s="99" t="str">
        <f>IFERROR(
        IF(OR(V18="",$D$152="Não"),       "",
        IF($D$152="Sim",                  'Mat Coletivo e Equipamentos'!$I$4/SUM($E$29:$XX$29),
        ROUND(IF($D$152&lt;&gt;"",$D$152*SUM(V61,V116,V125,V148,V151),
0),2))),0)</f>
        <v/>
      </c>
      <c r="W152" s="99" t="str">
        <f>IFERROR(
        IF(OR(W18="",$D$152="Não"),       "",
        IF($D$152="Sim",                  'Mat Coletivo e Equipamentos'!$I$4/SUM($E$29:$XX$29),
        ROUND(IF($D$152&lt;&gt;"",$D$152*SUM(W61,W116,W125,W148,W151),
0),2))),0)</f>
        <v/>
      </c>
      <c r="X152" s="99" t="str">
        <f>IFERROR(
        IF(OR(X18="",$D$152="Não"),       "",
        IF($D$152="Sim",                  'Mat Coletivo e Equipamentos'!$I$4/SUM($E$29:$XX$29),
        ROUND(IF($D$152&lt;&gt;"",$D$152*SUM(X61,X116,X125,X148,X151),
0),2))),0)</f>
        <v/>
      </c>
    </row>
    <row r="153" spans="1:24" s="5" customFormat="1">
      <c r="A153" s="73"/>
      <c r="B153" s="157"/>
      <c r="C153" s="90" t="s">
        <v>219</v>
      </c>
      <c r="D153" s="153"/>
      <c r="E153" s="155">
        <f>IF(E18="","",SUM(E151:E152))</f>
        <v>0</v>
      </c>
      <c r="F153" s="155" t="str">
        <f>IF(F18="","",SUM(F151:F152))</f>
        <v/>
      </c>
      <c r="G153" s="155" t="str">
        <f>IF(G18="","",SUM(G151:G152))</f>
        <v/>
      </c>
      <c r="H153" s="155" t="str">
        <f>IF(H18="","",SUM(H151:H152))</f>
        <v/>
      </c>
      <c r="I153" s="155" t="str">
        <f>IF(I18="","",SUM(I151:I152))</f>
        <v/>
      </c>
      <c r="J153" s="155" t="str">
        <f t="shared" ref="J153:X153" si="84">IF(J18="","",SUM(J151:J151))</f>
        <v/>
      </c>
      <c r="K153" s="155" t="str">
        <f t="shared" si="84"/>
        <v/>
      </c>
      <c r="L153" s="155" t="str">
        <f t="shared" si="84"/>
        <v/>
      </c>
      <c r="M153" s="155" t="str">
        <f t="shared" si="84"/>
        <v/>
      </c>
      <c r="N153" s="155" t="str">
        <f t="shared" si="84"/>
        <v/>
      </c>
      <c r="O153" s="155" t="str">
        <f t="shared" si="84"/>
        <v/>
      </c>
      <c r="P153" s="155" t="str">
        <f t="shared" si="84"/>
        <v/>
      </c>
      <c r="Q153" s="155" t="str">
        <f t="shared" si="84"/>
        <v/>
      </c>
      <c r="R153" s="155" t="str">
        <f t="shared" si="84"/>
        <v/>
      </c>
      <c r="S153" s="155" t="str">
        <f t="shared" si="84"/>
        <v/>
      </c>
      <c r="T153" s="155" t="str">
        <f t="shared" si="84"/>
        <v/>
      </c>
      <c r="U153" s="155" t="str">
        <f t="shared" si="84"/>
        <v/>
      </c>
      <c r="V153" s="155" t="str">
        <f t="shared" si="84"/>
        <v/>
      </c>
      <c r="W153" s="155" t="str">
        <f t="shared" si="84"/>
        <v/>
      </c>
      <c r="X153" s="155" t="str">
        <f t="shared" si="84"/>
        <v/>
      </c>
    </row>
    <row r="154" spans="1:24">
      <c r="F154" s="9"/>
      <c r="G154" s="9"/>
      <c r="H154" s="9"/>
      <c r="I154" s="9"/>
      <c r="J154" s="9"/>
      <c r="K154" s="9"/>
      <c r="L154" s="9"/>
      <c r="M154" s="9"/>
      <c r="N154" s="9"/>
      <c r="O154" s="9"/>
      <c r="P154" s="9"/>
      <c r="Q154" s="9"/>
      <c r="R154" s="9"/>
      <c r="S154" s="9"/>
      <c r="T154" s="9"/>
      <c r="U154" s="9"/>
      <c r="V154" s="9"/>
      <c r="W154" s="9"/>
      <c r="X154" s="9"/>
    </row>
    <row r="155" spans="1:24" s="6" customFormat="1">
      <c r="A155" s="74"/>
      <c r="B155" s="89"/>
      <c r="C155" s="90" t="s">
        <v>226</v>
      </c>
      <c r="D155" s="91"/>
      <c r="E155" s="369"/>
      <c r="F155" s="369"/>
      <c r="G155" s="369"/>
      <c r="H155" s="369"/>
      <c r="I155" s="369"/>
      <c r="J155" s="369"/>
      <c r="K155" s="369"/>
      <c r="L155" s="369"/>
      <c r="M155" s="369"/>
      <c r="N155" s="369"/>
      <c r="O155" s="369"/>
      <c r="P155" s="369"/>
      <c r="Q155" s="369"/>
      <c r="R155" s="369"/>
      <c r="S155" s="369"/>
      <c r="T155" s="369"/>
      <c r="U155" s="369"/>
      <c r="V155" s="369"/>
      <c r="W155" s="369"/>
      <c r="X155" s="369"/>
    </row>
    <row r="156" spans="1:24" customFormat="1" ht="3.75" customHeight="1"/>
    <row r="157" spans="1:24" s="6" customFormat="1">
      <c r="A157" s="75"/>
      <c r="B157" s="171"/>
      <c r="C157" s="172" t="s">
        <v>230</v>
      </c>
      <c r="D157" s="173"/>
      <c r="E157" s="176"/>
      <c r="F157" s="176"/>
      <c r="G157" s="176"/>
      <c r="H157" s="176"/>
      <c r="I157" s="176"/>
      <c r="J157" s="176"/>
      <c r="K157" s="176"/>
      <c r="L157" s="176"/>
      <c r="M157" s="176"/>
      <c r="N157" s="176"/>
      <c r="O157" s="176"/>
      <c r="P157" s="176"/>
      <c r="Q157" s="176"/>
      <c r="R157" s="176"/>
      <c r="S157" s="176"/>
      <c r="T157" s="176"/>
      <c r="U157" s="176"/>
      <c r="V157" s="176"/>
      <c r="W157" s="176"/>
      <c r="X157" s="176"/>
    </row>
    <row r="158" spans="1:24">
      <c r="A158" s="79"/>
      <c r="B158" s="87" t="s">
        <v>2</v>
      </c>
      <c r="C158" s="88" t="s">
        <v>227</v>
      </c>
      <c r="D158" s="406">
        <f>IFERROR(INDEX('Apoio - Notas Explicativas'!Q:Q,MATCH(C158,'Apoio - Notas Explicativas'!C:C,0)),"")</f>
        <v>0.05</v>
      </c>
      <c r="E158" s="99">
        <f t="shared" ref="E158:X158" si="85">IF(E18="","",IFERROR(ROUND($D$158*SUM(E61,E116,E125,E148,E153),2),""))</f>
        <v>236.82</v>
      </c>
      <c r="F158" s="99" t="str">
        <f t="shared" si="85"/>
        <v/>
      </c>
      <c r="G158" s="99" t="str">
        <f t="shared" si="85"/>
        <v/>
      </c>
      <c r="H158" s="99" t="str">
        <f t="shared" si="85"/>
        <v/>
      </c>
      <c r="I158" s="99" t="str">
        <f t="shared" si="85"/>
        <v/>
      </c>
      <c r="J158" s="99" t="str">
        <f t="shared" si="85"/>
        <v/>
      </c>
      <c r="K158" s="99" t="str">
        <f t="shared" si="85"/>
        <v/>
      </c>
      <c r="L158" s="99" t="str">
        <f t="shared" si="85"/>
        <v/>
      </c>
      <c r="M158" s="99" t="str">
        <f t="shared" si="85"/>
        <v/>
      </c>
      <c r="N158" s="99" t="str">
        <f t="shared" si="85"/>
        <v/>
      </c>
      <c r="O158" s="99" t="str">
        <f t="shared" si="85"/>
        <v/>
      </c>
      <c r="P158" s="99" t="str">
        <f t="shared" si="85"/>
        <v/>
      </c>
      <c r="Q158" s="99" t="str">
        <f t="shared" si="85"/>
        <v/>
      </c>
      <c r="R158" s="99" t="str">
        <f t="shared" si="85"/>
        <v/>
      </c>
      <c r="S158" s="99" t="str">
        <f t="shared" si="85"/>
        <v/>
      </c>
      <c r="T158" s="99" t="str">
        <f t="shared" si="85"/>
        <v/>
      </c>
      <c r="U158" s="99" t="str">
        <f t="shared" si="85"/>
        <v/>
      </c>
      <c r="V158" s="99" t="str">
        <f t="shared" si="85"/>
        <v/>
      </c>
      <c r="W158" s="99" t="str">
        <f t="shared" si="85"/>
        <v/>
      </c>
      <c r="X158" s="99" t="str">
        <f t="shared" si="85"/>
        <v/>
      </c>
    </row>
    <row r="159" spans="1:24">
      <c r="A159" s="78"/>
      <c r="B159" s="87" t="s">
        <v>1</v>
      </c>
      <c r="C159" s="88" t="s">
        <v>228</v>
      </c>
      <c r="D159" s="406">
        <f>IFERROR(INDEX('Apoio - Notas Explicativas'!Q:Q,MATCH(C159,'Apoio - Notas Explicativas'!C:C,0)),"")</f>
        <v>0.1</v>
      </c>
      <c r="E159" s="99">
        <f t="shared" ref="E159:X159" si="86">IF(E18="","",IFERROR(ROUND($D$159*SUM(E158,E61,E116,E125,E148,E153),2),""))</f>
        <v>497.33</v>
      </c>
      <c r="F159" s="99" t="str">
        <f t="shared" si="86"/>
        <v/>
      </c>
      <c r="G159" s="99" t="str">
        <f t="shared" si="86"/>
        <v/>
      </c>
      <c r="H159" s="99" t="str">
        <f t="shared" si="86"/>
        <v/>
      </c>
      <c r="I159" s="99" t="str">
        <f t="shared" si="86"/>
        <v/>
      </c>
      <c r="J159" s="99" t="str">
        <f t="shared" si="86"/>
        <v/>
      </c>
      <c r="K159" s="99" t="str">
        <f t="shared" si="86"/>
        <v/>
      </c>
      <c r="L159" s="99" t="str">
        <f t="shared" si="86"/>
        <v/>
      </c>
      <c r="M159" s="99" t="str">
        <f t="shared" si="86"/>
        <v/>
      </c>
      <c r="N159" s="99" t="str">
        <f t="shared" si="86"/>
        <v/>
      </c>
      <c r="O159" s="99" t="str">
        <f t="shared" si="86"/>
        <v/>
      </c>
      <c r="P159" s="99" t="str">
        <f t="shared" si="86"/>
        <v/>
      </c>
      <c r="Q159" s="99" t="str">
        <f t="shared" si="86"/>
        <v/>
      </c>
      <c r="R159" s="99" t="str">
        <f t="shared" si="86"/>
        <v/>
      </c>
      <c r="S159" s="99" t="str">
        <f t="shared" si="86"/>
        <v/>
      </c>
      <c r="T159" s="99" t="str">
        <f t="shared" si="86"/>
        <v/>
      </c>
      <c r="U159" s="99" t="str">
        <f t="shared" si="86"/>
        <v/>
      </c>
      <c r="V159" s="99" t="str">
        <f t="shared" si="86"/>
        <v/>
      </c>
      <c r="W159" s="99" t="str">
        <f t="shared" si="86"/>
        <v/>
      </c>
      <c r="X159" s="99" t="str">
        <f t="shared" si="86"/>
        <v/>
      </c>
    </row>
    <row r="160" spans="1:24" s="5" customFormat="1">
      <c r="A160" s="76"/>
      <c r="B160" s="171"/>
      <c r="C160" s="172" t="s">
        <v>231</v>
      </c>
      <c r="D160" s="175"/>
      <c r="E160" s="176">
        <f t="shared" ref="E160:X160" si="87">IF(E18="","",SUM(E158:E159))</f>
        <v>734.15</v>
      </c>
      <c r="F160" s="176" t="str">
        <f t="shared" si="87"/>
        <v/>
      </c>
      <c r="G160" s="176" t="str">
        <f t="shared" si="87"/>
        <v/>
      </c>
      <c r="H160" s="176" t="str">
        <f t="shared" si="87"/>
        <v/>
      </c>
      <c r="I160" s="176" t="str">
        <f t="shared" si="87"/>
        <v/>
      </c>
      <c r="J160" s="176" t="str">
        <f t="shared" si="87"/>
        <v/>
      </c>
      <c r="K160" s="176" t="str">
        <f t="shared" si="87"/>
        <v/>
      </c>
      <c r="L160" s="176" t="str">
        <f t="shared" si="87"/>
        <v/>
      </c>
      <c r="M160" s="176" t="str">
        <f t="shared" si="87"/>
        <v/>
      </c>
      <c r="N160" s="176" t="str">
        <f t="shared" si="87"/>
        <v/>
      </c>
      <c r="O160" s="176" t="str">
        <f t="shared" si="87"/>
        <v/>
      </c>
      <c r="P160" s="176" t="str">
        <f t="shared" si="87"/>
        <v/>
      </c>
      <c r="Q160" s="176" t="str">
        <f t="shared" si="87"/>
        <v/>
      </c>
      <c r="R160" s="176" t="str">
        <f t="shared" si="87"/>
        <v/>
      </c>
      <c r="S160" s="176" t="str">
        <f t="shared" si="87"/>
        <v/>
      </c>
      <c r="T160" s="176" t="str">
        <f t="shared" si="87"/>
        <v/>
      </c>
      <c r="U160" s="176" t="str">
        <f t="shared" si="87"/>
        <v/>
      </c>
      <c r="V160" s="176" t="str">
        <f t="shared" si="87"/>
        <v/>
      </c>
      <c r="W160" s="176" t="str">
        <f t="shared" si="87"/>
        <v/>
      </c>
      <c r="X160" s="176" t="str">
        <f t="shared" si="87"/>
        <v/>
      </c>
    </row>
    <row r="161" spans="1:24" customFormat="1" ht="3.75" customHeight="1"/>
    <row r="162" spans="1:24" s="6" customFormat="1">
      <c r="A162" s="75"/>
      <c r="B162" s="171"/>
      <c r="C162" s="172" t="s">
        <v>309</v>
      </c>
      <c r="D162" s="173"/>
      <c r="E162" s="176"/>
      <c r="F162" s="176"/>
      <c r="G162" s="176"/>
      <c r="H162" s="176"/>
      <c r="I162" s="176"/>
      <c r="J162" s="176"/>
      <c r="K162" s="176"/>
      <c r="L162" s="176"/>
      <c r="M162" s="176"/>
      <c r="N162" s="176"/>
      <c r="O162" s="176"/>
      <c r="P162" s="176"/>
      <c r="Q162" s="176"/>
      <c r="R162" s="176"/>
      <c r="S162" s="176"/>
      <c r="T162" s="176"/>
      <c r="U162" s="176"/>
      <c r="V162" s="176"/>
      <c r="W162" s="176"/>
      <c r="X162" s="176"/>
    </row>
    <row r="163" spans="1:24">
      <c r="A163" s="78"/>
      <c r="B163" s="87" t="s">
        <v>2</v>
      </c>
      <c r="C163" s="88" t="s">
        <v>43</v>
      </c>
      <c r="D163" s="392">
        <f>IFERROR(INDEX('Apoio - Notas Explicativas'!Q:Q,MATCH(C163,'Apoio - Notas Explicativas'!C:C,0)),"")</f>
        <v>0.03</v>
      </c>
      <c r="E163" s="99">
        <f t="shared" ref="E163:X163" si="88">IF(E18="","",IFERROR(ROUND(SUM(E$160,E$61,E$116,E$125,E$148,E$153)*$D163/(1-SUM($D$163:$D$168,E$166)),2),""))</f>
        <v>179.66</v>
      </c>
      <c r="F163" s="99" t="str">
        <f t="shared" si="88"/>
        <v/>
      </c>
      <c r="G163" s="99" t="str">
        <f t="shared" si="88"/>
        <v/>
      </c>
      <c r="H163" s="99" t="str">
        <f t="shared" si="88"/>
        <v/>
      </c>
      <c r="I163" s="99" t="str">
        <f t="shared" si="88"/>
        <v/>
      </c>
      <c r="J163" s="99" t="str">
        <f t="shared" si="88"/>
        <v/>
      </c>
      <c r="K163" s="99" t="str">
        <f t="shared" si="88"/>
        <v/>
      </c>
      <c r="L163" s="99" t="str">
        <f t="shared" si="88"/>
        <v/>
      </c>
      <c r="M163" s="99" t="str">
        <f t="shared" si="88"/>
        <v/>
      </c>
      <c r="N163" s="99" t="str">
        <f t="shared" si="88"/>
        <v/>
      </c>
      <c r="O163" s="99" t="str">
        <f t="shared" si="88"/>
        <v/>
      </c>
      <c r="P163" s="99" t="str">
        <f t="shared" si="88"/>
        <v/>
      </c>
      <c r="Q163" s="99" t="str">
        <f t="shared" si="88"/>
        <v/>
      </c>
      <c r="R163" s="99" t="str">
        <f t="shared" si="88"/>
        <v/>
      </c>
      <c r="S163" s="99" t="str">
        <f t="shared" si="88"/>
        <v/>
      </c>
      <c r="T163" s="99" t="str">
        <f t="shared" si="88"/>
        <v/>
      </c>
      <c r="U163" s="99" t="str">
        <f t="shared" si="88"/>
        <v/>
      </c>
      <c r="V163" s="99" t="str">
        <f t="shared" si="88"/>
        <v/>
      </c>
      <c r="W163" s="99" t="str">
        <f t="shared" si="88"/>
        <v/>
      </c>
      <c r="X163" s="99" t="str">
        <f t="shared" si="88"/>
        <v/>
      </c>
    </row>
    <row r="164" spans="1:24">
      <c r="A164" s="79"/>
      <c r="B164" s="87" t="s">
        <v>1</v>
      </c>
      <c r="C164" s="88" t="s">
        <v>107</v>
      </c>
      <c r="D164" s="392">
        <f>IFERROR(INDEX('Apoio - Notas Explicativas'!Q:Q,MATCH(C164,'Apoio - Notas Explicativas'!C:C,0)),"")</f>
        <v>6.4999999999999997E-3</v>
      </c>
      <c r="E164" s="99">
        <f t="shared" ref="E164:X164" si="89">IF(E20="","",IFERROR(ROUND(SUM(E$160,E$61,E$116,E$125,E$148,E$153)*$D164/(1-SUM($D$163:$D$168,E$166)),2),""))</f>
        <v>38.93</v>
      </c>
      <c r="F164" s="99" t="str">
        <f t="shared" si="89"/>
        <v/>
      </c>
      <c r="G164" s="99" t="str">
        <f t="shared" si="89"/>
        <v/>
      </c>
      <c r="H164" s="99" t="str">
        <f t="shared" si="89"/>
        <v/>
      </c>
      <c r="I164" s="99" t="str">
        <f t="shared" si="89"/>
        <v/>
      </c>
      <c r="J164" s="99" t="str">
        <f t="shared" si="89"/>
        <v/>
      </c>
      <c r="K164" s="99" t="str">
        <f t="shared" si="89"/>
        <v/>
      </c>
      <c r="L164" s="99" t="str">
        <f t="shared" si="89"/>
        <v/>
      </c>
      <c r="M164" s="99" t="str">
        <f t="shared" si="89"/>
        <v/>
      </c>
      <c r="N164" s="99" t="str">
        <f t="shared" si="89"/>
        <v/>
      </c>
      <c r="O164" s="99" t="str">
        <f t="shared" si="89"/>
        <v/>
      </c>
      <c r="P164" s="99" t="str">
        <f t="shared" si="89"/>
        <v/>
      </c>
      <c r="Q164" s="99" t="str">
        <f t="shared" si="89"/>
        <v/>
      </c>
      <c r="R164" s="99" t="str">
        <f t="shared" si="89"/>
        <v/>
      </c>
      <c r="S164" s="99" t="str">
        <f t="shared" si="89"/>
        <v/>
      </c>
      <c r="T164" s="99" t="str">
        <f t="shared" si="89"/>
        <v/>
      </c>
      <c r="U164" s="99" t="str">
        <f t="shared" si="89"/>
        <v/>
      </c>
      <c r="V164" s="99" t="str">
        <f t="shared" si="89"/>
        <v/>
      </c>
      <c r="W164" s="99" t="str">
        <f t="shared" si="89"/>
        <v/>
      </c>
      <c r="X164" s="99" t="str">
        <f t="shared" si="89"/>
        <v/>
      </c>
    </row>
    <row r="165" spans="1:24">
      <c r="A165" s="79"/>
      <c r="B165" s="801" t="s">
        <v>0</v>
      </c>
      <c r="C165" s="160" t="s">
        <v>44</v>
      </c>
      <c r="D165" s="414"/>
      <c r="E165" s="148"/>
      <c r="F165" s="148"/>
      <c r="G165" s="148"/>
      <c r="H165" s="148"/>
      <c r="I165" s="148"/>
      <c r="J165" s="148"/>
      <c r="K165" s="148"/>
      <c r="L165" s="148"/>
      <c r="M165" s="148"/>
      <c r="N165" s="148"/>
      <c r="O165" s="148"/>
      <c r="P165" s="148"/>
      <c r="Q165" s="148"/>
      <c r="R165" s="148"/>
      <c r="S165" s="148"/>
      <c r="T165" s="148"/>
      <c r="U165" s="148"/>
      <c r="V165" s="148"/>
      <c r="W165" s="148"/>
      <c r="X165" s="148"/>
    </row>
    <row r="166" spans="1:24">
      <c r="A166" s="79"/>
      <c r="B166" s="802"/>
      <c r="C166" s="136" t="s">
        <v>353</v>
      </c>
      <c r="D166" s="181"/>
      <c r="E166" s="388">
        <f>IF(E18="","",
IF($D$13="Simples",INDEX('Apoio - Notas Explicativas'!$Q:$Q,MATCH($C$165,'Apoio - Notas Explicativas'!$C:$C,0)),
IFERROR(VLOOKUP(E$18,'Apoio - Posto'!$A:$AA,20,FALSE),
INDEX('Apoio - Notas Explicativas'!$Q:$Q,MATCH($C$165,'Apoio - Notas Explicativas'!$C:$C,0))
)))</f>
        <v>0.05</v>
      </c>
      <c r="F166" s="388" t="str">
        <f>IF(F18="","",
IF($D$13="Simples",INDEX('Apoio - Notas Explicativas'!$Q:$Q,MATCH($C$165,'Apoio - Notas Explicativas'!$C:$C,0)),
IFERROR(VLOOKUP(F$18,'Apoio - Posto'!$A:$AA,20,FALSE),
INDEX('Apoio - Notas Explicativas'!$Q:$Q,MATCH($C$165,'Apoio - Notas Explicativas'!$C:$C,0))
)))</f>
        <v/>
      </c>
      <c r="G166" s="388" t="str">
        <f>IF(G18="","",
IF($D$13="Simples",INDEX('Apoio - Notas Explicativas'!$Q:$Q,MATCH($C$165,'Apoio - Notas Explicativas'!$C:$C,0)),
IFERROR(VLOOKUP(G$18,'Apoio - Posto'!$A:$AA,20,FALSE),
INDEX('Apoio - Notas Explicativas'!$Q:$Q,MATCH($C$165,'Apoio - Notas Explicativas'!$C:$C,0))
)))</f>
        <v/>
      </c>
      <c r="H166" s="388" t="str">
        <f>IF(H18="","",
IF($D$13="Simples",INDEX('Apoio - Notas Explicativas'!$Q:$Q,MATCH($C$165,'Apoio - Notas Explicativas'!$C:$C,0)),
IFERROR(VLOOKUP(H$18,'Apoio - Posto'!$A:$AA,20,FALSE),
INDEX('Apoio - Notas Explicativas'!$Q:$Q,MATCH($C$165,'Apoio - Notas Explicativas'!$C:$C,0))
)))</f>
        <v/>
      </c>
      <c r="I166" s="388" t="str">
        <f>IF(I18="","",
IF($D$13="Simples",INDEX('Apoio - Notas Explicativas'!$Q:$Q,MATCH($C$165,'Apoio - Notas Explicativas'!$C:$C,0)),
IFERROR(VLOOKUP(I$18,'Apoio - Posto'!$A:$AA,20,FALSE),
INDEX('Apoio - Notas Explicativas'!$Q:$Q,MATCH($C$165,'Apoio - Notas Explicativas'!$C:$C,0))
)))</f>
        <v/>
      </c>
      <c r="J166" s="388" t="str">
        <f>IF(J18="","",
IF($D$13="Simples",INDEX('Apoio - Notas Explicativas'!$Q:$Q,MATCH($C$165,'Apoio - Notas Explicativas'!$C:$C,0)),
IFERROR(VLOOKUP(J$18,'Apoio - Posto'!$A:$AA,20,FALSE),
INDEX('Apoio - Notas Explicativas'!$Q:$Q,MATCH($C$165,'Apoio - Notas Explicativas'!$C:$C,0))
)))</f>
        <v/>
      </c>
      <c r="K166" s="388" t="str">
        <f>IF(K18="","",
IF($D$13="Simples",INDEX('Apoio - Notas Explicativas'!$Q:$Q,MATCH($C$165,'Apoio - Notas Explicativas'!$C:$C,0)),
IFERROR(VLOOKUP(K$18,'Apoio - Posto'!$A:$AA,20,FALSE),
INDEX('Apoio - Notas Explicativas'!$Q:$Q,MATCH($C$165,'Apoio - Notas Explicativas'!$C:$C,0))
)))</f>
        <v/>
      </c>
      <c r="L166" s="388" t="str">
        <f>IF(L18="","",
IF($D$13="Simples",INDEX('Apoio - Notas Explicativas'!$Q:$Q,MATCH($C$165,'Apoio - Notas Explicativas'!$C:$C,0)),
IFERROR(VLOOKUP(L$18,'Apoio - Posto'!$A:$AA,20,FALSE),
INDEX('Apoio - Notas Explicativas'!$Q:$Q,MATCH($C$165,'Apoio - Notas Explicativas'!$C:$C,0))
)))</f>
        <v/>
      </c>
      <c r="M166" s="388" t="str">
        <f>IF(M18="","",
IF($D$13="Simples",INDEX('Apoio - Notas Explicativas'!$Q:$Q,MATCH($C$165,'Apoio - Notas Explicativas'!$C:$C,0)),
IFERROR(VLOOKUP(M$18,'Apoio - Posto'!$A:$AA,20,FALSE),
INDEX('Apoio - Notas Explicativas'!$Q:$Q,MATCH($C$165,'Apoio - Notas Explicativas'!$C:$C,0))
)))</f>
        <v/>
      </c>
      <c r="N166" s="388" t="str">
        <f>IF(N18="","",
IF($D$13="Simples",INDEX('Apoio - Notas Explicativas'!$Q:$Q,MATCH($C$165,'Apoio - Notas Explicativas'!$C:$C,0)),
IFERROR(VLOOKUP(N$18,'Apoio - Posto'!$A:$AA,20,FALSE),
INDEX('Apoio - Notas Explicativas'!$Q:$Q,MATCH($C$165,'Apoio - Notas Explicativas'!$C:$C,0))
)))</f>
        <v/>
      </c>
      <c r="O166" s="388" t="str">
        <f>IF(O18="","",
IF($D$13="Simples",INDEX('Apoio - Notas Explicativas'!$Q:$Q,MATCH($C$165,'Apoio - Notas Explicativas'!$C:$C,0)),
IFERROR(VLOOKUP(O$18,'Apoio - Posto'!$A:$AA,20,FALSE),
INDEX('Apoio - Notas Explicativas'!$Q:$Q,MATCH($C$165,'Apoio - Notas Explicativas'!$C:$C,0))
)))</f>
        <v/>
      </c>
      <c r="P166" s="388" t="str">
        <f>IF(P18="","",
IF($D$13="Simples",INDEX('Apoio - Notas Explicativas'!$Q:$Q,MATCH($C$165,'Apoio - Notas Explicativas'!$C:$C,0)),
IFERROR(VLOOKUP(P$18,'Apoio - Posto'!$A:$AA,20,FALSE),
INDEX('Apoio - Notas Explicativas'!$Q:$Q,MATCH($C$165,'Apoio - Notas Explicativas'!$C:$C,0))
)))</f>
        <v/>
      </c>
      <c r="Q166" s="388" t="str">
        <f>IF(Q18="","",
IF($D$13="Simples",INDEX('Apoio - Notas Explicativas'!$Q:$Q,MATCH($C$165,'Apoio - Notas Explicativas'!$C:$C,0)),
IFERROR(VLOOKUP(Q$18,'Apoio - Posto'!$A:$AA,20,FALSE),
INDEX('Apoio - Notas Explicativas'!$Q:$Q,MATCH($C$165,'Apoio - Notas Explicativas'!$C:$C,0))
)))</f>
        <v/>
      </c>
      <c r="R166" s="388" t="str">
        <f>IF(R18="","",
IF($D$13="Simples",INDEX('Apoio - Notas Explicativas'!$Q:$Q,MATCH($C$165,'Apoio - Notas Explicativas'!$C:$C,0)),
IFERROR(VLOOKUP(R$18,'Apoio - Posto'!$A:$AA,20,FALSE),
INDEX('Apoio - Notas Explicativas'!$Q:$Q,MATCH($C$165,'Apoio - Notas Explicativas'!$C:$C,0))
)))</f>
        <v/>
      </c>
      <c r="S166" s="388" t="str">
        <f>IF(S18="","",
IF($D$13="Simples",INDEX('Apoio - Notas Explicativas'!$Q:$Q,MATCH($C$165,'Apoio - Notas Explicativas'!$C:$C,0)),
IFERROR(VLOOKUP(S$18,'Apoio - Posto'!$A:$AA,20,FALSE),
INDEX('Apoio - Notas Explicativas'!$Q:$Q,MATCH($C$165,'Apoio - Notas Explicativas'!$C:$C,0))
)))</f>
        <v/>
      </c>
      <c r="T166" s="388" t="str">
        <f>IF(T18="","",
IF($D$13="Simples",INDEX('Apoio - Notas Explicativas'!$Q:$Q,MATCH($C$165,'Apoio - Notas Explicativas'!$C:$C,0)),
IFERROR(VLOOKUP(T$18,'Apoio - Posto'!$A:$AA,20,FALSE),
INDEX('Apoio - Notas Explicativas'!$Q:$Q,MATCH($C$165,'Apoio - Notas Explicativas'!$C:$C,0))
)))</f>
        <v/>
      </c>
      <c r="U166" s="388" t="str">
        <f>IF(U18="","",
IF($D$13="Simples",INDEX('Apoio - Notas Explicativas'!$Q:$Q,MATCH($C$165,'Apoio - Notas Explicativas'!$C:$C,0)),
IFERROR(VLOOKUP(U$18,'Apoio - Posto'!$A:$AA,20,FALSE),
INDEX('Apoio - Notas Explicativas'!$Q:$Q,MATCH($C$165,'Apoio - Notas Explicativas'!$C:$C,0))
)))</f>
        <v/>
      </c>
      <c r="V166" s="388" t="str">
        <f>IF(V18="","",
IF($D$13="Simples",INDEX('Apoio - Notas Explicativas'!$Q:$Q,MATCH($C$165,'Apoio - Notas Explicativas'!$C:$C,0)),
IFERROR(VLOOKUP(V$18,'Apoio - Posto'!$A:$AA,20,FALSE),
INDEX('Apoio - Notas Explicativas'!$Q:$Q,MATCH($C$165,'Apoio - Notas Explicativas'!$C:$C,0))
)))</f>
        <v/>
      </c>
      <c r="W166" s="388" t="str">
        <f>IF(W18="","",
IF($D$13="Simples",INDEX('Apoio - Notas Explicativas'!$Q:$Q,MATCH($C$165,'Apoio - Notas Explicativas'!$C:$C,0)),
IFERROR(VLOOKUP(W$18,'Apoio - Posto'!$A:$AA,20,FALSE),
INDEX('Apoio - Notas Explicativas'!$Q:$Q,MATCH($C$165,'Apoio - Notas Explicativas'!$C:$C,0))
)))</f>
        <v/>
      </c>
      <c r="X166" s="388" t="str">
        <f>IF(X18="","",
IF($D$13="Simples",INDEX('Apoio - Notas Explicativas'!$Q:$Q,MATCH($C$165,'Apoio - Notas Explicativas'!$C:$C,0)),
IFERROR(VLOOKUP(X$18,'Apoio - Posto'!$A:$AA,20,FALSE),
INDEX('Apoio - Notas Explicativas'!$Q:$Q,MATCH($C$165,'Apoio - Notas Explicativas'!$C:$C,0))
)))</f>
        <v/>
      </c>
    </row>
    <row r="167" spans="1:24">
      <c r="A167" s="78"/>
      <c r="B167" s="803"/>
      <c r="C167" s="88"/>
      <c r="D167" s="415" t="s">
        <v>41</v>
      </c>
      <c r="E167" s="147">
        <f t="shared" ref="E167:X167" si="90">IF(E21="","",IFERROR(ROUND(SUM(E$160,E$61,E$116,E$125,E$148,E$153)*E166/(1-SUM($D$163:$D$168,E166)),2),""))</f>
        <v>299.43</v>
      </c>
      <c r="F167" s="147" t="str">
        <f t="shared" si="90"/>
        <v/>
      </c>
      <c r="G167" s="147" t="str">
        <f t="shared" si="90"/>
        <v/>
      </c>
      <c r="H167" s="147" t="str">
        <f t="shared" si="90"/>
        <v/>
      </c>
      <c r="I167" s="147" t="str">
        <f t="shared" si="90"/>
        <v/>
      </c>
      <c r="J167" s="147" t="str">
        <f t="shared" si="90"/>
        <v/>
      </c>
      <c r="K167" s="147" t="str">
        <f t="shared" si="90"/>
        <v/>
      </c>
      <c r="L167" s="147" t="str">
        <f t="shared" si="90"/>
        <v/>
      </c>
      <c r="M167" s="147" t="str">
        <f t="shared" si="90"/>
        <v/>
      </c>
      <c r="N167" s="147" t="str">
        <f t="shared" si="90"/>
        <v/>
      </c>
      <c r="O167" s="147" t="str">
        <f t="shared" si="90"/>
        <v/>
      </c>
      <c r="P167" s="147" t="str">
        <f t="shared" si="90"/>
        <v/>
      </c>
      <c r="Q167" s="147" t="str">
        <f t="shared" si="90"/>
        <v/>
      </c>
      <c r="R167" s="147" t="str">
        <f t="shared" si="90"/>
        <v/>
      </c>
      <c r="S167" s="147" t="str">
        <f t="shared" si="90"/>
        <v/>
      </c>
      <c r="T167" s="147" t="str">
        <f t="shared" si="90"/>
        <v/>
      </c>
      <c r="U167" s="147" t="str">
        <f t="shared" si="90"/>
        <v/>
      </c>
      <c r="V167" s="147" t="str">
        <f t="shared" si="90"/>
        <v/>
      </c>
      <c r="W167" s="147" t="str">
        <f t="shared" si="90"/>
        <v/>
      </c>
      <c r="X167" s="147" t="str">
        <f t="shared" si="90"/>
        <v/>
      </c>
    </row>
    <row r="168" spans="1:24">
      <c r="A168" s="78"/>
      <c r="B168" s="390" t="s">
        <v>3</v>
      </c>
      <c r="C168" s="391" t="s">
        <v>303</v>
      </c>
      <c r="D168" s="392">
        <v>0</v>
      </c>
      <c r="E168" s="99">
        <f t="shared" ref="E168:X168" si="91">IF(E22="","",IFERROR(ROUND(SUM(E$160,E$61,E$116,E$125,E$148,E$153)*$D168/(1-SUM($D$163:$D$168,E$166)),2),""))</f>
        <v>0</v>
      </c>
      <c r="F168" s="99" t="str">
        <f t="shared" si="91"/>
        <v/>
      </c>
      <c r="G168" s="99" t="str">
        <f t="shared" si="91"/>
        <v/>
      </c>
      <c r="H168" s="99" t="str">
        <f t="shared" si="91"/>
        <v/>
      </c>
      <c r="I168" s="99" t="str">
        <f t="shared" si="91"/>
        <v/>
      </c>
      <c r="J168" s="99" t="str">
        <f t="shared" si="91"/>
        <v/>
      </c>
      <c r="K168" s="99" t="str">
        <f t="shared" si="91"/>
        <v/>
      </c>
      <c r="L168" s="99" t="str">
        <f t="shared" si="91"/>
        <v/>
      </c>
      <c r="M168" s="99" t="str">
        <f t="shared" si="91"/>
        <v/>
      </c>
      <c r="N168" s="99" t="str">
        <f t="shared" si="91"/>
        <v/>
      </c>
      <c r="O168" s="99" t="str">
        <f t="shared" si="91"/>
        <v/>
      </c>
      <c r="P168" s="99" t="str">
        <f t="shared" si="91"/>
        <v/>
      </c>
      <c r="Q168" s="99" t="str">
        <f t="shared" si="91"/>
        <v/>
      </c>
      <c r="R168" s="99" t="str">
        <f t="shared" si="91"/>
        <v/>
      </c>
      <c r="S168" s="99" t="str">
        <f t="shared" si="91"/>
        <v/>
      </c>
      <c r="T168" s="99" t="str">
        <f t="shared" si="91"/>
        <v/>
      </c>
      <c r="U168" s="99" t="str">
        <f t="shared" si="91"/>
        <v/>
      </c>
      <c r="V168" s="99" t="str">
        <f t="shared" si="91"/>
        <v/>
      </c>
      <c r="W168" s="99" t="str">
        <f t="shared" si="91"/>
        <v/>
      </c>
      <c r="X168" s="99" t="str">
        <f t="shared" si="91"/>
        <v/>
      </c>
    </row>
    <row r="169" spans="1:24" s="5" customFormat="1">
      <c r="A169" s="76"/>
      <c r="B169" s="171"/>
      <c r="C169" s="172" t="s">
        <v>232</v>
      </c>
      <c r="D169" s="175"/>
      <c r="E169" s="192">
        <f t="shared" ref="E169:X169" si="92">IF(E18="","",SUM(E163:E164,E167:E168))</f>
        <v>518.02</v>
      </c>
      <c r="F169" s="192" t="str">
        <f t="shared" si="92"/>
        <v/>
      </c>
      <c r="G169" s="192" t="str">
        <f t="shared" si="92"/>
        <v/>
      </c>
      <c r="H169" s="192" t="str">
        <f t="shared" si="92"/>
        <v/>
      </c>
      <c r="I169" s="192" t="str">
        <f t="shared" si="92"/>
        <v/>
      </c>
      <c r="J169" s="192" t="str">
        <f t="shared" si="92"/>
        <v/>
      </c>
      <c r="K169" s="192" t="str">
        <f t="shared" si="92"/>
        <v/>
      </c>
      <c r="L169" s="192" t="str">
        <f t="shared" si="92"/>
        <v/>
      </c>
      <c r="M169" s="192" t="str">
        <f t="shared" si="92"/>
        <v/>
      </c>
      <c r="N169" s="192" t="str">
        <f t="shared" si="92"/>
        <v/>
      </c>
      <c r="O169" s="192" t="str">
        <f t="shared" si="92"/>
        <v/>
      </c>
      <c r="P169" s="192" t="str">
        <f t="shared" si="92"/>
        <v/>
      </c>
      <c r="Q169" s="192" t="str">
        <f t="shared" si="92"/>
        <v/>
      </c>
      <c r="R169" s="192" t="str">
        <f t="shared" si="92"/>
        <v/>
      </c>
      <c r="S169" s="192" t="str">
        <f t="shared" si="92"/>
        <v/>
      </c>
      <c r="T169" s="192" t="str">
        <f t="shared" si="92"/>
        <v/>
      </c>
      <c r="U169" s="192" t="str">
        <f t="shared" si="92"/>
        <v/>
      </c>
      <c r="V169" s="192" t="str">
        <f t="shared" si="92"/>
        <v/>
      </c>
      <c r="W169" s="192" t="str">
        <f t="shared" si="92"/>
        <v/>
      </c>
      <c r="X169" s="192" t="str">
        <f t="shared" si="92"/>
        <v/>
      </c>
    </row>
    <row r="170" spans="1:24" customFormat="1" ht="3.75" customHeight="1"/>
    <row r="171" spans="1:24" s="5" customFormat="1">
      <c r="A171" s="73"/>
      <c r="B171" s="157"/>
      <c r="C171" s="90" t="s">
        <v>220</v>
      </c>
      <c r="D171" s="153"/>
      <c r="E171" s="155">
        <f t="shared" ref="E171:X171" si="93">IF(E18="","",SUM(E169,E160))</f>
        <v>1252.17</v>
      </c>
      <c r="F171" s="155" t="str">
        <f t="shared" si="93"/>
        <v/>
      </c>
      <c r="G171" s="155" t="str">
        <f t="shared" si="93"/>
        <v/>
      </c>
      <c r="H171" s="155" t="str">
        <f t="shared" si="93"/>
        <v/>
      </c>
      <c r="I171" s="155" t="str">
        <f t="shared" si="93"/>
        <v/>
      </c>
      <c r="J171" s="155" t="str">
        <f t="shared" si="93"/>
        <v/>
      </c>
      <c r="K171" s="155" t="str">
        <f t="shared" si="93"/>
        <v/>
      </c>
      <c r="L171" s="155" t="str">
        <f t="shared" si="93"/>
        <v/>
      </c>
      <c r="M171" s="155" t="str">
        <f t="shared" si="93"/>
        <v/>
      </c>
      <c r="N171" s="155" t="str">
        <f t="shared" si="93"/>
        <v/>
      </c>
      <c r="O171" s="155" t="str">
        <f t="shared" si="93"/>
        <v/>
      </c>
      <c r="P171" s="155" t="str">
        <f t="shared" si="93"/>
        <v/>
      </c>
      <c r="Q171" s="155" t="str">
        <f t="shared" si="93"/>
        <v/>
      </c>
      <c r="R171" s="155" t="str">
        <f t="shared" si="93"/>
        <v/>
      </c>
      <c r="S171" s="155" t="str">
        <f t="shared" si="93"/>
        <v/>
      </c>
      <c r="T171" s="155" t="str">
        <f t="shared" si="93"/>
        <v/>
      </c>
      <c r="U171" s="155" t="str">
        <f t="shared" si="93"/>
        <v/>
      </c>
      <c r="V171" s="155" t="str">
        <f t="shared" si="93"/>
        <v/>
      </c>
      <c r="W171" s="155" t="str">
        <f t="shared" si="93"/>
        <v/>
      </c>
      <c r="X171" s="155" t="str">
        <f t="shared" si="93"/>
        <v/>
      </c>
    </row>
    <row r="172" spans="1:24">
      <c r="F172" s="9"/>
      <c r="G172" s="9"/>
      <c r="H172" s="9"/>
      <c r="I172" s="9"/>
      <c r="J172" s="9"/>
      <c r="K172" s="9"/>
      <c r="L172" s="9"/>
      <c r="M172" s="9"/>
      <c r="N172" s="9"/>
      <c r="O172" s="9"/>
      <c r="P172" s="9"/>
      <c r="Q172" s="9"/>
      <c r="R172" s="9"/>
      <c r="S172" s="9"/>
      <c r="T172" s="9"/>
      <c r="U172" s="9"/>
      <c r="V172" s="9"/>
      <c r="W172" s="9"/>
      <c r="X172" s="9"/>
    </row>
    <row r="173" spans="1:24" s="6" customFormat="1">
      <c r="A173" s="74"/>
      <c r="B173" s="89"/>
      <c r="C173" s="90" t="s">
        <v>374</v>
      </c>
      <c r="D173" s="91"/>
      <c r="E173" s="369"/>
      <c r="F173" s="369"/>
      <c r="G173" s="369"/>
      <c r="H173" s="369"/>
      <c r="I173" s="369"/>
      <c r="J173" s="369"/>
      <c r="K173" s="369"/>
      <c r="L173" s="369"/>
      <c r="M173" s="369"/>
      <c r="N173" s="369"/>
      <c r="O173" s="369"/>
      <c r="P173" s="369"/>
      <c r="Q173" s="369"/>
      <c r="R173" s="369"/>
      <c r="S173" s="369"/>
      <c r="T173" s="369"/>
      <c r="U173" s="369"/>
      <c r="V173" s="369"/>
      <c r="W173" s="369"/>
      <c r="X173" s="369"/>
    </row>
    <row r="174" spans="1:24" ht="3.75" customHeight="1">
      <c r="A174" s="287"/>
      <c r="B174" s="3"/>
      <c r="C174" s="3"/>
      <c r="D174" s="3"/>
      <c r="E174" s="3"/>
      <c r="F174" s="3"/>
      <c r="G174" s="3"/>
      <c r="H174" s="3"/>
      <c r="I174" s="3"/>
      <c r="J174" s="3"/>
      <c r="K174" s="3"/>
      <c r="L174" s="3"/>
      <c r="M174" s="3"/>
      <c r="N174" s="3"/>
      <c r="O174" s="3"/>
      <c r="P174" s="3"/>
      <c r="Q174" s="3"/>
      <c r="R174" s="3"/>
      <c r="S174" s="3"/>
      <c r="T174" s="3"/>
      <c r="U174" s="3"/>
      <c r="V174" s="3"/>
      <c r="W174" s="3"/>
      <c r="X174" s="3"/>
    </row>
    <row r="175" spans="1:24">
      <c r="A175" s="287"/>
      <c r="B175" s="171"/>
      <c r="C175" s="172" t="s">
        <v>438</v>
      </c>
      <c r="D175" s="289"/>
      <c r="E175" s="396"/>
      <c r="F175" s="396"/>
      <c r="G175" s="396"/>
      <c r="H175" s="396"/>
      <c r="I175" s="396"/>
      <c r="J175" s="396"/>
      <c r="K175" s="396"/>
      <c r="L175" s="396"/>
      <c r="M175" s="396"/>
      <c r="N175" s="396"/>
      <c r="O175" s="396"/>
      <c r="P175" s="396"/>
      <c r="Q175" s="396"/>
      <c r="R175" s="396"/>
      <c r="S175" s="396"/>
      <c r="T175" s="396"/>
      <c r="U175" s="396"/>
      <c r="V175" s="396"/>
      <c r="W175" s="396"/>
      <c r="X175" s="396"/>
    </row>
    <row r="176" spans="1:24">
      <c r="A176" s="80"/>
      <c r="B176" s="87" t="s">
        <v>2</v>
      </c>
      <c r="C176" s="88" t="s">
        <v>375</v>
      </c>
      <c r="D176" s="177"/>
      <c r="E176" s="99">
        <f>IFERROR(IF(E18="","",ROUND(E178/SUM(E52,INDEX('Apoio - Regime de Trabalho'!$I:$I,MATCH(E26,'Apoio - Regime de Trabalho'!$A:$A,0))),2)),"")</f>
        <v>29.94</v>
      </c>
      <c r="F176" s="99" t="str">
        <f>IFERROR(IF(F18="","",ROUND(F178/SUM(F52,INDEX('Apoio - Regime de Trabalho'!$I:$I,MATCH(F26,'Apoio - Regime de Trabalho'!$A:$A,0))),2)),"")</f>
        <v/>
      </c>
      <c r="G176" s="99" t="str">
        <f>IFERROR(IF(G18="","",ROUND(G178/SUM(G52,INDEX('Apoio - Regime de Trabalho'!$I:$I,MATCH(G26,'Apoio - Regime de Trabalho'!$A:$A,0))),2)),"")</f>
        <v/>
      </c>
      <c r="H176" s="99" t="str">
        <f>IFERROR(IF(H18="","",ROUND(H178/SUM(H52,INDEX('Apoio - Regime de Trabalho'!$I:$I,MATCH(H26,'Apoio - Regime de Trabalho'!$A:$A,0))),2)),"")</f>
        <v/>
      </c>
      <c r="I176" s="99" t="str">
        <f>IFERROR(IF(I18="","",ROUND(I178/SUM(I52,INDEX('Apoio - Regime de Trabalho'!$I:$I,MATCH(I26,'Apoio - Regime de Trabalho'!$A:$A,0))),2)),"")</f>
        <v/>
      </c>
      <c r="J176" s="99" t="str">
        <f>IFERROR(IF(J18="","",ROUND(J178/SUM(J52,INDEX('Apoio - Regime de Trabalho'!$I:$I,MATCH(J26,'Apoio - Regime de Trabalho'!$A:$A,0))),2)),"")</f>
        <v/>
      </c>
      <c r="K176" s="99" t="str">
        <f>IFERROR(IF(K18="","",ROUND(K178/SUM(K52,INDEX('Apoio - Regime de Trabalho'!$I:$I,MATCH(K26,'Apoio - Regime de Trabalho'!$A:$A,0))),2)),"")</f>
        <v/>
      </c>
      <c r="L176" s="99" t="str">
        <f>IFERROR(IF(L18="","",ROUND(L178/SUM(L52,INDEX('Apoio - Regime de Trabalho'!$I:$I,MATCH(L26,'Apoio - Regime de Trabalho'!$A:$A,0))),2)),"")</f>
        <v/>
      </c>
      <c r="M176" s="99" t="str">
        <f>IFERROR(IF(M18="","",ROUND(M178/SUM(M52,INDEX('Apoio - Regime de Trabalho'!$I:$I,MATCH(M26,'Apoio - Regime de Trabalho'!$A:$A,0))),2)),"")</f>
        <v/>
      </c>
      <c r="N176" s="99" t="str">
        <f>IFERROR(IF(N18="","",ROUND(N178/SUM(N52,INDEX('Apoio - Regime de Trabalho'!$I:$I,MATCH(N26,'Apoio - Regime de Trabalho'!$A:$A,0))),2)),"")</f>
        <v/>
      </c>
      <c r="O176" s="99" t="str">
        <f>IFERROR(IF(O18="","",ROUND(O178/SUM(O52,INDEX('Apoio - Regime de Trabalho'!$I:$I,MATCH(O26,'Apoio - Regime de Trabalho'!$A:$A,0))),2)),"")</f>
        <v/>
      </c>
      <c r="P176" s="99" t="str">
        <f>IFERROR(IF(P18="","",ROUND(P178/SUM(P52,INDEX('Apoio - Regime de Trabalho'!$I:$I,MATCH(P26,'Apoio - Regime de Trabalho'!$A:$A,0))),2)),"")</f>
        <v/>
      </c>
      <c r="Q176" s="99" t="str">
        <f>IFERROR(IF(Q18="","",ROUND(Q178/SUM(Q52,INDEX('Apoio - Regime de Trabalho'!$I:$I,MATCH(Q26,'Apoio - Regime de Trabalho'!$A:$A,0))),2)),"")</f>
        <v/>
      </c>
      <c r="R176" s="99" t="str">
        <f>IFERROR(IF(R18="","",ROUND(R178/SUM(R52,INDEX('Apoio - Regime de Trabalho'!$I:$I,MATCH(R26,'Apoio - Regime de Trabalho'!$A:$A,0))),2)),"")</f>
        <v/>
      </c>
      <c r="S176" s="99" t="str">
        <f>IFERROR(IF(S18="","",ROUND(S178/SUM(S52,INDEX('Apoio - Regime de Trabalho'!$I:$I,MATCH(S26,'Apoio - Regime de Trabalho'!$A:$A,0))),2)),"")</f>
        <v/>
      </c>
      <c r="T176" s="99" t="str">
        <f>IFERROR(IF(T18="","",ROUND(T178/SUM(T52,INDEX('Apoio - Regime de Trabalho'!$I:$I,MATCH(T26,'Apoio - Regime de Trabalho'!$A:$A,0))),2)),"")</f>
        <v/>
      </c>
      <c r="U176" s="99" t="str">
        <f>IFERROR(IF(U18="","",ROUND(U178/SUM(U52,INDEX('Apoio - Regime de Trabalho'!$I:$I,MATCH(U26,'Apoio - Regime de Trabalho'!$A:$A,0))),2)),"")</f>
        <v/>
      </c>
      <c r="V176" s="99" t="str">
        <f>IFERROR(IF(V18="","",ROUND(V178/SUM(V52,INDEX('Apoio - Regime de Trabalho'!$I:$I,MATCH(V26,'Apoio - Regime de Trabalho'!$A:$A,0))),2)),"")</f>
        <v/>
      </c>
      <c r="W176" s="99" t="str">
        <f>IFERROR(IF(W18="","",ROUND(W178/SUM(W52,INDEX('Apoio - Regime de Trabalho'!$I:$I,MATCH(W26,'Apoio - Regime de Trabalho'!$A:$A,0))),2)),"")</f>
        <v/>
      </c>
      <c r="X176" s="99" t="str">
        <f>IFERROR(IF(X18="","",ROUND(X178/SUM(X52,INDEX('Apoio - Regime de Trabalho'!$I:$I,MATCH(X26,'Apoio - Regime de Trabalho'!$A:$A,0))),2)),"")</f>
        <v/>
      </c>
    </row>
    <row r="177" spans="1:24">
      <c r="A177" s="80"/>
      <c r="B177" s="87" t="s">
        <v>1</v>
      </c>
      <c r="C177" s="88" t="s">
        <v>379</v>
      </c>
      <c r="D177" s="177"/>
      <c r="E177" s="99">
        <f>IF(E18="","",ROUND(SUM(E61,E116,E125,E148,E153,E171)/INDEX('Apoio - Regime de Trabalho'!$G:$G,MATCH(E26,'Apoio - Regime de Trabalho'!$A:$A,0)),2))</f>
        <v>272.20999999999998</v>
      </c>
      <c r="F177" s="99" t="str">
        <f>IF(F18="","",ROUND(SUM(F61,F116,F125,F148,F153,F171)/INDEX('Apoio - Regime de Trabalho'!$G:$G,MATCH(F26,'Apoio - Regime de Trabalho'!$A:$A,0)),2))</f>
        <v/>
      </c>
      <c r="G177" s="99" t="str">
        <f>IF(G18="","",ROUND(SUM(G61,G116,G125,G148,G153,G171)/INDEX('Apoio - Regime de Trabalho'!$G:$G,MATCH(G26,'Apoio - Regime de Trabalho'!$A:$A,0)),2))</f>
        <v/>
      </c>
      <c r="H177" s="99" t="str">
        <f>IF(H18="","",ROUND(SUM(H61,H116,H125,H148,H153,H171)/INDEX('Apoio - Regime de Trabalho'!$G:$G,MATCH(H26,'Apoio - Regime de Trabalho'!$A:$A,0)),2))</f>
        <v/>
      </c>
      <c r="I177" s="99" t="str">
        <f>IF(I18="","",ROUND(SUM(I61,I116,I125,I148,I153,I171)/INDEX('Apoio - Regime de Trabalho'!$G:$G,MATCH(I26,'Apoio - Regime de Trabalho'!$A:$A,0)),2))</f>
        <v/>
      </c>
      <c r="J177" s="99" t="str">
        <f>IF(J18="","",ROUND(SUM(J61,J116,J125,J148,J153,J171)/INDEX('Apoio - Regime de Trabalho'!$G:$G,MATCH(J26,'Apoio - Regime de Trabalho'!$A:$A,0)),2))</f>
        <v/>
      </c>
      <c r="K177" s="99" t="str">
        <f>IF(K18="","",ROUND(SUM(K61,K116,K125,K148,K153,K171)/INDEX('Apoio - Regime de Trabalho'!$G:$G,MATCH(K26,'Apoio - Regime de Trabalho'!$A:$A,0)),2))</f>
        <v/>
      </c>
      <c r="L177" s="99" t="str">
        <f>IF(L18="","",ROUND(SUM(L61,L116,L125,L148,L153,L171)/INDEX('Apoio - Regime de Trabalho'!$G:$G,MATCH(L26,'Apoio - Regime de Trabalho'!$A:$A,0)),2))</f>
        <v/>
      </c>
      <c r="M177" s="99" t="str">
        <f>IF(M18="","",ROUND(SUM(M61,M116,M125,M148,M153,M171)/INDEX('Apoio - Regime de Trabalho'!$G:$G,MATCH(M26,'Apoio - Regime de Trabalho'!$A:$A,0)),2))</f>
        <v/>
      </c>
      <c r="N177" s="99" t="str">
        <f>IF(N18="","",ROUND(SUM(N61,N116,N125,N148,N153,N171)/INDEX('Apoio - Regime de Trabalho'!$G:$G,MATCH(N26,'Apoio - Regime de Trabalho'!$A:$A,0)),2))</f>
        <v/>
      </c>
      <c r="O177" s="99" t="str">
        <f>IF(O18="","",ROUND(SUM(O61,O116,O125,O148,O153,O171)/INDEX('Apoio - Regime de Trabalho'!$G:$G,MATCH(O26,'Apoio - Regime de Trabalho'!$A:$A,0)),2))</f>
        <v/>
      </c>
      <c r="P177" s="99" t="str">
        <f>IF(P18="","",ROUND(SUM(P61,P116,P125,P148,P153,P171)/INDEX('Apoio - Regime de Trabalho'!$G:$G,MATCH(P26,'Apoio - Regime de Trabalho'!$A:$A,0)),2))</f>
        <v/>
      </c>
      <c r="Q177" s="99" t="str">
        <f>IF(Q18="","",ROUND(SUM(Q61,Q116,Q125,Q148,Q153,Q171)/INDEX('Apoio - Regime de Trabalho'!$G:$G,MATCH(Q26,'Apoio - Regime de Trabalho'!$A:$A,0)),2))</f>
        <v/>
      </c>
      <c r="R177" s="99" t="str">
        <f>IF(R18="","",ROUND(SUM(R61,R116,R125,R148,R153,R171)/INDEX('Apoio - Regime de Trabalho'!$G:$G,MATCH(R26,'Apoio - Regime de Trabalho'!$A:$A,0)),2))</f>
        <v/>
      </c>
      <c r="S177" s="99" t="str">
        <f>IF(S18="","",ROUND(SUM(S61,S116,S125,S148,S153,S171)/INDEX('Apoio - Regime de Trabalho'!$G:$G,MATCH(S26,'Apoio - Regime de Trabalho'!$A:$A,0)),2))</f>
        <v/>
      </c>
      <c r="T177" s="99" t="str">
        <f>IF(T18="","",ROUND(SUM(T61,T116,T125,T148,T153,T171)/INDEX('Apoio - Regime de Trabalho'!$G:$G,MATCH(T26,'Apoio - Regime de Trabalho'!$A:$A,0)),2))</f>
        <v/>
      </c>
      <c r="U177" s="99" t="str">
        <f>IF(U18="","",ROUND(SUM(U61,U116,U125,U148,U153,U171)/INDEX('Apoio - Regime de Trabalho'!$G:$G,MATCH(U26,'Apoio - Regime de Trabalho'!$A:$A,0)),2))</f>
        <v/>
      </c>
      <c r="V177" s="99" t="str">
        <f>IF(V18="","",ROUND(SUM(V61,V116,V125,V148,V153,V171)/INDEX('Apoio - Regime de Trabalho'!$G:$G,MATCH(V26,'Apoio - Regime de Trabalho'!$A:$A,0)),2))</f>
        <v/>
      </c>
      <c r="W177" s="99" t="str">
        <f>IF(W18="","",ROUND(SUM(W61,W116,W125,W148,W153,W171)/INDEX('Apoio - Regime de Trabalho'!$G:$G,MATCH(W26,'Apoio - Regime de Trabalho'!$A:$A,0)),2))</f>
        <v/>
      </c>
      <c r="X177" s="99" t="str">
        <f>IF(X18="","",ROUND(SUM(X61,X116,X125,X148,X153,X171)/INDEX('Apoio - Regime de Trabalho'!$G:$G,MATCH(X26,'Apoio - Regime de Trabalho'!$A:$A,0)),2))</f>
        <v/>
      </c>
    </row>
    <row r="178" spans="1:24">
      <c r="A178" s="80"/>
      <c r="B178" s="87" t="s">
        <v>0</v>
      </c>
      <c r="C178" s="88" t="s">
        <v>441</v>
      </c>
      <c r="D178" s="177"/>
      <c r="E178" s="99">
        <f t="shared" ref="E178:X178" si="94">IF(E18="","",ROUND(SUM(E61,E116,E125,E148,E153,E171),2))</f>
        <v>5988.64</v>
      </c>
      <c r="F178" s="99" t="str">
        <f t="shared" si="94"/>
        <v/>
      </c>
      <c r="G178" s="99" t="str">
        <f t="shared" si="94"/>
        <v/>
      </c>
      <c r="H178" s="99" t="str">
        <f t="shared" si="94"/>
        <v/>
      </c>
      <c r="I178" s="99" t="str">
        <f t="shared" si="94"/>
        <v/>
      </c>
      <c r="J178" s="99" t="str">
        <f t="shared" si="94"/>
        <v/>
      </c>
      <c r="K178" s="99" t="str">
        <f t="shared" si="94"/>
        <v/>
      </c>
      <c r="L178" s="99" t="str">
        <f t="shared" si="94"/>
        <v/>
      </c>
      <c r="M178" s="99" t="str">
        <f t="shared" si="94"/>
        <v/>
      </c>
      <c r="N178" s="99" t="str">
        <f t="shared" si="94"/>
        <v/>
      </c>
      <c r="O178" s="99" t="str">
        <f t="shared" si="94"/>
        <v/>
      </c>
      <c r="P178" s="99" t="str">
        <f t="shared" si="94"/>
        <v/>
      </c>
      <c r="Q178" s="99" t="str">
        <f t="shared" si="94"/>
        <v/>
      </c>
      <c r="R178" s="99" t="str">
        <f t="shared" si="94"/>
        <v/>
      </c>
      <c r="S178" s="99" t="str">
        <f t="shared" si="94"/>
        <v/>
      </c>
      <c r="T178" s="99" t="str">
        <f t="shared" si="94"/>
        <v/>
      </c>
      <c r="U178" s="99" t="str">
        <f t="shared" si="94"/>
        <v/>
      </c>
      <c r="V178" s="99" t="str">
        <f t="shared" si="94"/>
        <v/>
      </c>
      <c r="W178" s="99" t="str">
        <f t="shared" si="94"/>
        <v/>
      </c>
      <c r="X178" s="99" t="str">
        <f t="shared" si="94"/>
        <v/>
      </c>
    </row>
    <row r="179" spans="1:24">
      <c r="A179" s="80"/>
      <c r="B179" s="87" t="s">
        <v>3</v>
      </c>
      <c r="C179" s="88" t="s">
        <v>440</v>
      </c>
      <c r="D179" s="177"/>
      <c r="E179" s="99">
        <f t="shared" ref="E179:X179" si="95">IFERROR(ROUND(E178*E28,2),"")</f>
        <v>5988.64</v>
      </c>
      <c r="F179" s="99" t="str">
        <f t="shared" si="95"/>
        <v/>
      </c>
      <c r="G179" s="99" t="str">
        <f t="shared" si="95"/>
        <v/>
      </c>
      <c r="H179" s="99" t="str">
        <f t="shared" si="95"/>
        <v/>
      </c>
      <c r="I179" s="99" t="str">
        <f t="shared" si="95"/>
        <v/>
      </c>
      <c r="J179" s="99" t="str">
        <f t="shared" si="95"/>
        <v/>
      </c>
      <c r="K179" s="99" t="str">
        <f t="shared" si="95"/>
        <v/>
      </c>
      <c r="L179" s="99" t="str">
        <f t="shared" si="95"/>
        <v/>
      </c>
      <c r="M179" s="99" t="str">
        <f t="shared" si="95"/>
        <v/>
      </c>
      <c r="N179" s="99" t="str">
        <f t="shared" si="95"/>
        <v/>
      </c>
      <c r="O179" s="99" t="str">
        <f t="shared" si="95"/>
        <v/>
      </c>
      <c r="P179" s="99" t="str">
        <f t="shared" si="95"/>
        <v/>
      </c>
      <c r="Q179" s="99" t="str">
        <f t="shared" si="95"/>
        <v/>
      </c>
      <c r="R179" s="99" t="str">
        <f t="shared" si="95"/>
        <v/>
      </c>
      <c r="S179" s="99" t="str">
        <f t="shared" si="95"/>
        <v/>
      </c>
      <c r="T179" s="99" t="str">
        <f t="shared" si="95"/>
        <v/>
      </c>
      <c r="U179" s="99" t="str">
        <f t="shared" si="95"/>
        <v/>
      </c>
      <c r="V179" s="99" t="str">
        <f t="shared" si="95"/>
        <v/>
      </c>
      <c r="W179" s="99" t="str">
        <f t="shared" si="95"/>
        <v/>
      </c>
      <c r="X179" s="99" t="str">
        <f t="shared" si="95"/>
        <v/>
      </c>
    </row>
    <row r="180" spans="1:24" ht="3.75" customHeight="1">
      <c r="A180" s="287"/>
      <c r="B180" s="3"/>
      <c r="C180" s="3"/>
      <c r="D180" s="3"/>
      <c r="E180" s="3"/>
      <c r="F180" s="3"/>
      <c r="G180" s="3"/>
      <c r="H180" s="3"/>
      <c r="I180" s="3"/>
      <c r="J180" s="3"/>
      <c r="K180" s="3"/>
      <c r="L180" s="3"/>
      <c r="M180" s="3"/>
      <c r="N180" s="3"/>
      <c r="O180" s="3"/>
      <c r="P180" s="3"/>
      <c r="Q180" s="3"/>
      <c r="R180" s="3"/>
      <c r="S180" s="3"/>
      <c r="T180" s="3"/>
      <c r="U180" s="3"/>
      <c r="V180" s="3"/>
      <c r="W180" s="3"/>
      <c r="X180" s="3"/>
    </row>
    <row r="181" spans="1:24">
      <c r="A181" s="287"/>
      <c r="B181" s="171"/>
      <c r="C181" s="172" t="s">
        <v>469</v>
      </c>
      <c r="D181" s="289"/>
      <c r="E181" s="396"/>
      <c r="F181" s="396"/>
      <c r="G181" s="396"/>
      <c r="H181" s="396"/>
      <c r="I181" s="396"/>
      <c r="J181" s="396"/>
      <c r="K181" s="396"/>
      <c r="L181" s="396"/>
      <c r="M181" s="396"/>
      <c r="N181" s="396"/>
      <c r="O181" s="396"/>
      <c r="P181" s="396"/>
      <c r="Q181" s="396"/>
      <c r="R181" s="396"/>
      <c r="S181" s="396"/>
      <c r="T181" s="396"/>
      <c r="U181" s="396"/>
      <c r="V181" s="396"/>
      <c r="W181" s="396"/>
      <c r="X181" s="396"/>
    </row>
    <row r="182" spans="1:24">
      <c r="A182" s="80"/>
      <c r="B182" s="87" t="s">
        <v>2</v>
      </c>
      <c r="C182" s="88" t="s">
        <v>376</v>
      </c>
      <c r="D182" s="177"/>
      <c r="E182" s="99">
        <f t="shared" ref="E182:X182" si="96">IFERROR(ROUND(SUM(E61,E116,E125,E148),2)*E29,"")</f>
        <v>4736.47</v>
      </c>
      <c r="F182" s="99" t="str">
        <f t="shared" si="96"/>
        <v/>
      </c>
      <c r="G182" s="99" t="str">
        <f t="shared" si="96"/>
        <v/>
      </c>
      <c r="H182" s="99" t="str">
        <f t="shared" si="96"/>
        <v/>
      </c>
      <c r="I182" s="99" t="str">
        <f t="shared" si="96"/>
        <v/>
      </c>
      <c r="J182" s="99" t="str">
        <f t="shared" si="96"/>
        <v/>
      </c>
      <c r="K182" s="99" t="str">
        <f t="shared" si="96"/>
        <v/>
      </c>
      <c r="L182" s="99" t="str">
        <f t="shared" si="96"/>
        <v/>
      </c>
      <c r="M182" s="99" t="str">
        <f t="shared" si="96"/>
        <v/>
      </c>
      <c r="N182" s="99" t="str">
        <f t="shared" si="96"/>
        <v/>
      </c>
      <c r="O182" s="99" t="str">
        <f t="shared" si="96"/>
        <v/>
      </c>
      <c r="P182" s="99" t="str">
        <f t="shared" si="96"/>
        <v/>
      </c>
      <c r="Q182" s="99" t="str">
        <f t="shared" si="96"/>
        <v/>
      </c>
      <c r="R182" s="99" t="str">
        <f t="shared" si="96"/>
        <v/>
      </c>
      <c r="S182" s="99" t="str">
        <f t="shared" si="96"/>
        <v/>
      </c>
      <c r="T182" s="99" t="str">
        <f t="shared" si="96"/>
        <v/>
      </c>
      <c r="U182" s="99" t="str">
        <f t="shared" si="96"/>
        <v/>
      </c>
      <c r="V182" s="99" t="str">
        <f t="shared" si="96"/>
        <v/>
      </c>
      <c r="W182" s="99" t="str">
        <f t="shared" si="96"/>
        <v/>
      </c>
      <c r="X182" s="99" t="str">
        <f t="shared" si="96"/>
        <v/>
      </c>
    </row>
    <row r="183" spans="1:24">
      <c r="A183" s="80"/>
      <c r="B183" s="87" t="s">
        <v>1</v>
      </c>
      <c r="C183" s="88" t="s">
        <v>435</v>
      </c>
      <c r="D183" s="177"/>
      <c r="E183" s="99">
        <f t="shared" ref="E183:X183" si="97">IFERROR(ROUND(E153*E29,2),"")</f>
        <v>0</v>
      </c>
      <c r="F183" s="99" t="str">
        <f t="shared" si="97"/>
        <v/>
      </c>
      <c r="G183" s="99" t="str">
        <f t="shared" si="97"/>
        <v/>
      </c>
      <c r="H183" s="99" t="str">
        <f t="shared" si="97"/>
        <v/>
      </c>
      <c r="I183" s="99" t="str">
        <f t="shared" si="97"/>
        <v/>
      </c>
      <c r="J183" s="99" t="str">
        <f t="shared" si="97"/>
        <v/>
      </c>
      <c r="K183" s="99" t="str">
        <f t="shared" si="97"/>
        <v/>
      </c>
      <c r="L183" s="99" t="str">
        <f t="shared" si="97"/>
        <v/>
      </c>
      <c r="M183" s="99" t="str">
        <f t="shared" si="97"/>
        <v/>
      </c>
      <c r="N183" s="99" t="str">
        <f t="shared" si="97"/>
        <v/>
      </c>
      <c r="O183" s="99" t="str">
        <f t="shared" si="97"/>
        <v/>
      </c>
      <c r="P183" s="99" t="str">
        <f t="shared" si="97"/>
        <v/>
      </c>
      <c r="Q183" s="99" t="str">
        <f t="shared" si="97"/>
        <v/>
      </c>
      <c r="R183" s="99" t="str">
        <f t="shared" si="97"/>
        <v/>
      </c>
      <c r="S183" s="99" t="str">
        <f t="shared" si="97"/>
        <v/>
      </c>
      <c r="T183" s="99" t="str">
        <f t="shared" si="97"/>
        <v/>
      </c>
      <c r="U183" s="99" t="str">
        <f t="shared" si="97"/>
        <v/>
      </c>
      <c r="V183" s="99" t="str">
        <f t="shared" si="97"/>
        <v/>
      </c>
      <c r="W183" s="99" t="str">
        <f t="shared" si="97"/>
        <v/>
      </c>
      <c r="X183" s="99" t="str">
        <f t="shared" si="97"/>
        <v/>
      </c>
    </row>
    <row r="184" spans="1:24">
      <c r="A184" s="81"/>
      <c r="B184" s="87" t="s">
        <v>0</v>
      </c>
      <c r="C184" s="88" t="s">
        <v>174</v>
      </c>
      <c r="D184" s="177"/>
      <c r="E184" s="99">
        <f t="shared" ref="E184:X184" si="98">IFERROR(ROUND(E171*E29,2),"")</f>
        <v>1252.17</v>
      </c>
      <c r="F184" s="99" t="str">
        <f t="shared" si="98"/>
        <v/>
      </c>
      <c r="G184" s="99" t="str">
        <f t="shared" si="98"/>
        <v/>
      </c>
      <c r="H184" s="99" t="str">
        <f t="shared" si="98"/>
        <v/>
      </c>
      <c r="I184" s="99" t="str">
        <f t="shared" si="98"/>
        <v/>
      </c>
      <c r="J184" s="99" t="str">
        <f t="shared" si="98"/>
        <v/>
      </c>
      <c r="K184" s="99" t="str">
        <f t="shared" si="98"/>
        <v/>
      </c>
      <c r="L184" s="99" t="str">
        <f t="shared" si="98"/>
        <v/>
      </c>
      <c r="M184" s="99" t="str">
        <f t="shared" si="98"/>
        <v/>
      </c>
      <c r="N184" s="99" t="str">
        <f t="shared" si="98"/>
        <v/>
      </c>
      <c r="O184" s="99" t="str">
        <f t="shared" si="98"/>
        <v/>
      </c>
      <c r="P184" s="99" t="str">
        <f t="shared" si="98"/>
        <v/>
      </c>
      <c r="Q184" s="99" t="str">
        <f t="shared" si="98"/>
        <v/>
      </c>
      <c r="R184" s="99" t="str">
        <f t="shared" si="98"/>
        <v/>
      </c>
      <c r="S184" s="99" t="str">
        <f t="shared" si="98"/>
        <v/>
      </c>
      <c r="T184" s="99" t="str">
        <f t="shared" si="98"/>
        <v/>
      </c>
      <c r="U184" s="99" t="str">
        <f t="shared" si="98"/>
        <v/>
      </c>
      <c r="V184" s="99" t="str">
        <f t="shared" si="98"/>
        <v/>
      </c>
      <c r="W184" s="99" t="str">
        <f t="shared" si="98"/>
        <v/>
      </c>
      <c r="X184" s="99" t="str">
        <f t="shared" si="98"/>
        <v/>
      </c>
    </row>
    <row r="185" spans="1:24">
      <c r="A185" s="81"/>
      <c r="B185" s="87" t="s">
        <v>3</v>
      </c>
      <c r="C185" s="88" t="s">
        <v>468</v>
      </c>
      <c r="D185" s="177"/>
      <c r="E185" s="99">
        <f>IFERROR(ROUND((E182+E183+E184),2),"")</f>
        <v>5988.64</v>
      </c>
      <c r="F185" s="99" t="str">
        <f t="shared" ref="F185:H185" si="99">IFERROR(ROUND((F182+F183+F184),2),"")</f>
        <v/>
      </c>
      <c r="G185" s="99" t="str">
        <f t="shared" si="99"/>
        <v/>
      </c>
      <c r="H185" s="99" t="str">
        <f t="shared" si="99"/>
        <v/>
      </c>
      <c r="I185" s="99" t="str">
        <f t="shared" ref="I185:N185" si="100">IFERROR(ROUND((I182+I183+I184),2),"")</f>
        <v/>
      </c>
      <c r="J185" s="99" t="str">
        <f t="shared" si="100"/>
        <v/>
      </c>
      <c r="K185" s="99" t="str">
        <f t="shared" si="100"/>
        <v/>
      </c>
      <c r="L185" s="99" t="str">
        <f t="shared" si="100"/>
        <v/>
      </c>
      <c r="M185" s="99" t="str">
        <f t="shared" si="100"/>
        <v/>
      </c>
      <c r="N185" s="99" t="str">
        <f t="shared" si="100"/>
        <v/>
      </c>
      <c r="O185" s="99" t="str">
        <f t="shared" ref="O185:X185" si="101">IFERROR(ROUND((O182+O183+O184),2),"")</f>
        <v/>
      </c>
      <c r="P185" s="99" t="str">
        <f t="shared" si="101"/>
        <v/>
      </c>
      <c r="Q185" s="99" t="str">
        <f t="shared" si="101"/>
        <v/>
      </c>
      <c r="R185" s="99" t="str">
        <f t="shared" si="101"/>
        <v/>
      </c>
      <c r="S185" s="99" t="str">
        <f t="shared" si="101"/>
        <v/>
      </c>
      <c r="T185" s="99" t="str">
        <f t="shared" si="101"/>
        <v/>
      </c>
      <c r="U185" s="99" t="str">
        <f t="shared" si="101"/>
        <v/>
      </c>
      <c r="V185" s="99" t="str">
        <f t="shared" si="101"/>
        <v/>
      </c>
      <c r="W185" s="99" t="str">
        <f t="shared" si="101"/>
        <v/>
      </c>
      <c r="X185" s="99" t="str">
        <f t="shared" si="101"/>
        <v/>
      </c>
    </row>
    <row r="186" spans="1:24" ht="3.75" customHeight="1">
      <c r="A186" s="287"/>
      <c r="B186" s="3"/>
      <c r="C186" s="3"/>
      <c r="D186" s="3"/>
      <c r="E186" s="3"/>
      <c r="F186" s="3"/>
      <c r="G186" s="3"/>
      <c r="H186" s="3"/>
      <c r="I186" s="3"/>
      <c r="J186" s="3"/>
      <c r="K186" s="3"/>
      <c r="L186" s="3"/>
      <c r="M186" s="3"/>
      <c r="N186" s="3"/>
      <c r="O186" s="3"/>
      <c r="P186" s="3"/>
      <c r="Q186" s="3"/>
      <c r="R186" s="3"/>
      <c r="S186" s="3"/>
      <c r="T186" s="3"/>
      <c r="U186" s="3"/>
      <c r="V186" s="3"/>
      <c r="W186" s="3"/>
      <c r="X186" s="3"/>
    </row>
    <row r="187" spans="1:24">
      <c r="A187" s="287"/>
      <c r="B187" s="171"/>
      <c r="C187" s="172" t="s">
        <v>439</v>
      </c>
      <c r="D187" s="289"/>
      <c r="E187" s="396"/>
      <c r="F187" s="396"/>
      <c r="G187" s="396"/>
      <c r="H187" s="396"/>
      <c r="I187" s="396"/>
      <c r="J187" s="396"/>
      <c r="K187" s="396"/>
      <c r="L187" s="396"/>
      <c r="M187" s="396"/>
      <c r="N187" s="396"/>
      <c r="O187" s="396"/>
      <c r="P187" s="396"/>
      <c r="Q187" s="396"/>
      <c r="R187" s="396"/>
      <c r="S187" s="396"/>
      <c r="T187" s="396"/>
      <c r="U187" s="396"/>
      <c r="V187" s="396"/>
      <c r="W187" s="396"/>
      <c r="X187" s="396"/>
    </row>
    <row r="188" spans="1:24">
      <c r="A188" s="81"/>
      <c r="B188" s="87" t="s">
        <v>2</v>
      </c>
      <c r="C188" s="88" t="s">
        <v>376</v>
      </c>
      <c r="D188" s="177"/>
      <c r="E188" s="99">
        <f>IFERROR(ROUND(E182*$D$12,2),"")</f>
        <v>56837.64</v>
      </c>
      <c r="F188" s="99" t="str">
        <f t="shared" ref="F188:N188" si="102">IFERROR(ROUND(F182*$D$12,2),"")</f>
        <v/>
      </c>
      <c r="G188" s="99" t="str">
        <f t="shared" si="102"/>
        <v/>
      </c>
      <c r="H188" s="99" t="str">
        <f t="shared" si="102"/>
        <v/>
      </c>
      <c r="I188" s="99" t="str">
        <f t="shared" si="102"/>
        <v/>
      </c>
      <c r="J188" s="99" t="str">
        <f t="shared" si="102"/>
        <v/>
      </c>
      <c r="K188" s="99" t="str">
        <f t="shared" si="102"/>
        <v/>
      </c>
      <c r="L188" s="99" t="str">
        <f t="shared" si="102"/>
        <v/>
      </c>
      <c r="M188" s="99" t="str">
        <f t="shared" si="102"/>
        <v/>
      </c>
      <c r="N188" s="99" t="str">
        <f t="shared" si="102"/>
        <v/>
      </c>
      <c r="O188" s="99" t="str">
        <f t="shared" ref="O188:X188" si="103">IFERROR(ROUND(O182*$D$12,2),"")</f>
        <v/>
      </c>
      <c r="P188" s="99" t="str">
        <f t="shared" si="103"/>
        <v/>
      </c>
      <c r="Q188" s="99" t="str">
        <f t="shared" si="103"/>
        <v/>
      </c>
      <c r="R188" s="99" t="str">
        <f t="shared" si="103"/>
        <v/>
      </c>
      <c r="S188" s="99" t="str">
        <f t="shared" si="103"/>
        <v/>
      </c>
      <c r="T188" s="99" t="str">
        <f t="shared" si="103"/>
        <v/>
      </c>
      <c r="U188" s="99" t="str">
        <f t="shared" si="103"/>
        <v/>
      </c>
      <c r="V188" s="99" t="str">
        <f t="shared" si="103"/>
        <v/>
      </c>
      <c r="W188" s="99" t="str">
        <f t="shared" si="103"/>
        <v/>
      </c>
      <c r="X188" s="99" t="str">
        <f t="shared" si="103"/>
        <v/>
      </c>
    </row>
    <row r="189" spans="1:24">
      <c r="A189" s="81"/>
      <c r="B189" s="87" t="s">
        <v>1</v>
      </c>
      <c r="C189" s="88" t="s">
        <v>435</v>
      </c>
      <c r="D189" s="177"/>
      <c r="E189" s="99">
        <f>IFERROR(ROUND(E183*$D$12,2),"")</f>
        <v>0</v>
      </c>
      <c r="F189" s="99" t="str">
        <f t="shared" ref="F189:N189" si="104">IFERROR(ROUND(F183*$D$12,2),"")</f>
        <v/>
      </c>
      <c r="G189" s="99" t="str">
        <f t="shared" si="104"/>
        <v/>
      </c>
      <c r="H189" s="99" t="str">
        <f t="shared" si="104"/>
        <v/>
      </c>
      <c r="I189" s="99" t="str">
        <f t="shared" si="104"/>
        <v/>
      </c>
      <c r="J189" s="99" t="str">
        <f t="shared" si="104"/>
        <v/>
      </c>
      <c r="K189" s="99" t="str">
        <f t="shared" si="104"/>
        <v/>
      </c>
      <c r="L189" s="99" t="str">
        <f t="shared" si="104"/>
        <v/>
      </c>
      <c r="M189" s="99" t="str">
        <f t="shared" si="104"/>
        <v/>
      </c>
      <c r="N189" s="99" t="str">
        <f t="shared" si="104"/>
        <v/>
      </c>
      <c r="O189" s="99" t="str">
        <f t="shared" ref="O189:X189" si="105">IFERROR(ROUND(O183*$D$12,2),"")</f>
        <v/>
      </c>
      <c r="P189" s="99" t="str">
        <f t="shared" si="105"/>
        <v/>
      </c>
      <c r="Q189" s="99" t="str">
        <f t="shared" si="105"/>
        <v/>
      </c>
      <c r="R189" s="99" t="str">
        <f t="shared" si="105"/>
        <v/>
      </c>
      <c r="S189" s="99" t="str">
        <f t="shared" si="105"/>
        <v/>
      </c>
      <c r="T189" s="99" t="str">
        <f t="shared" si="105"/>
        <v/>
      </c>
      <c r="U189" s="99" t="str">
        <f t="shared" si="105"/>
        <v/>
      </c>
      <c r="V189" s="99" t="str">
        <f t="shared" si="105"/>
        <v/>
      </c>
      <c r="W189" s="99" t="str">
        <f t="shared" si="105"/>
        <v/>
      </c>
      <c r="X189" s="99" t="str">
        <f t="shared" si="105"/>
        <v/>
      </c>
    </row>
    <row r="190" spans="1:24">
      <c r="A190" s="81"/>
      <c r="B190" s="87" t="s">
        <v>0</v>
      </c>
      <c r="C190" s="88" t="s">
        <v>174</v>
      </c>
      <c r="D190" s="177"/>
      <c r="E190" s="99">
        <f>IFERROR(ROUND(E184*$D$12,2),"")</f>
        <v>15026.04</v>
      </c>
      <c r="F190" s="99" t="str">
        <f t="shared" ref="F190:N190" si="106">IFERROR(ROUND(F184*$D$12,2),"")</f>
        <v/>
      </c>
      <c r="G190" s="99" t="str">
        <f t="shared" si="106"/>
        <v/>
      </c>
      <c r="H190" s="99" t="str">
        <f t="shared" si="106"/>
        <v/>
      </c>
      <c r="I190" s="99" t="str">
        <f t="shared" si="106"/>
        <v/>
      </c>
      <c r="J190" s="99" t="str">
        <f t="shared" si="106"/>
        <v/>
      </c>
      <c r="K190" s="99" t="str">
        <f t="shared" si="106"/>
        <v/>
      </c>
      <c r="L190" s="99" t="str">
        <f t="shared" si="106"/>
        <v/>
      </c>
      <c r="M190" s="99" t="str">
        <f t="shared" si="106"/>
        <v/>
      </c>
      <c r="N190" s="99" t="str">
        <f t="shared" si="106"/>
        <v/>
      </c>
      <c r="O190" s="99" t="str">
        <f t="shared" ref="O190:X190" si="107">IFERROR(ROUND(O184*$D$12,2),"")</f>
        <v/>
      </c>
      <c r="P190" s="99" t="str">
        <f t="shared" si="107"/>
        <v/>
      </c>
      <c r="Q190" s="99" t="str">
        <f t="shared" si="107"/>
        <v/>
      </c>
      <c r="R190" s="99" t="str">
        <f t="shared" si="107"/>
        <v/>
      </c>
      <c r="S190" s="99" t="str">
        <f t="shared" si="107"/>
        <v/>
      </c>
      <c r="T190" s="99" t="str">
        <f t="shared" si="107"/>
        <v/>
      </c>
      <c r="U190" s="99" t="str">
        <f t="shared" si="107"/>
        <v/>
      </c>
      <c r="V190" s="99" t="str">
        <f t="shared" si="107"/>
        <v/>
      </c>
      <c r="W190" s="99" t="str">
        <f t="shared" si="107"/>
        <v/>
      </c>
      <c r="X190" s="99" t="str">
        <f t="shared" si="107"/>
        <v/>
      </c>
    </row>
    <row r="191" spans="1:24">
      <c r="A191" s="81"/>
      <c r="B191" s="87" t="s">
        <v>3</v>
      </c>
      <c r="C191" s="88" t="s">
        <v>436</v>
      </c>
      <c r="D191" s="177"/>
      <c r="E191" s="99">
        <f>IFERROR(ROUND(E185*$D$12,2),"")</f>
        <v>71863.679999999993</v>
      </c>
      <c r="F191" s="99" t="str">
        <f t="shared" ref="F191:N191" si="108">IFERROR(ROUND(F185*$D$12,2),"")</f>
        <v/>
      </c>
      <c r="G191" s="99" t="str">
        <f t="shared" si="108"/>
        <v/>
      </c>
      <c r="H191" s="99" t="str">
        <f t="shared" si="108"/>
        <v/>
      </c>
      <c r="I191" s="99" t="str">
        <f t="shared" si="108"/>
        <v/>
      </c>
      <c r="J191" s="99" t="str">
        <f t="shared" si="108"/>
        <v/>
      </c>
      <c r="K191" s="99" t="str">
        <f t="shared" si="108"/>
        <v/>
      </c>
      <c r="L191" s="99" t="str">
        <f t="shared" si="108"/>
        <v/>
      </c>
      <c r="M191" s="99" t="str">
        <f t="shared" si="108"/>
        <v/>
      </c>
      <c r="N191" s="99" t="str">
        <f t="shared" si="108"/>
        <v/>
      </c>
      <c r="O191" s="99" t="str">
        <f t="shared" ref="O191:X191" si="109">IFERROR(ROUND(O185*$D$12,2),"")</f>
        <v/>
      </c>
      <c r="P191" s="99" t="str">
        <f t="shared" si="109"/>
        <v/>
      </c>
      <c r="Q191" s="99" t="str">
        <f t="shared" si="109"/>
        <v/>
      </c>
      <c r="R191" s="99" t="str">
        <f t="shared" si="109"/>
        <v/>
      </c>
      <c r="S191" s="99" t="str">
        <f t="shared" si="109"/>
        <v/>
      </c>
      <c r="T191" s="99" t="str">
        <f t="shared" si="109"/>
        <v/>
      </c>
      <c r="U191" s="99" t="str">
        <f t="shared" si="109"/>
        <v/>
      </c>
      <c r="V191" s="99" t="str">
        <f t="shared" si="109"/>
        <v/>
      </c>
      <c r="W191" s="99" t="str">
        <f t="shared" si="109"/>
        <v/>
      </c>
      <c r="X191" s="99" t="str">
        <f t="shared" si="109"/>
        <v/>
      </c>
    </row>
    <row r="192" spans="1:24">
      <c r="F192" s="9"/>
      <c r="G192" s="9"/>
      <c r="H192" s="9"/>
      <c r="I192" s="9"/>
      <c r="J192" s="9"/>
      <c r="K192" s="9"/>
      <c r="L192" s="9"/>
      <c r="M192" s="9"/>
      <c r="N192" s="9"/>
      <c r="O192" s="9"/>
      <c r="P192" s="9"/>
      <c r="Q192" s="9"/>
      <c r="R192" s="9"/>
      <c r="S192" s="9"/>
      <c r="T192" s="9"/>
      <c r="U192" s="9"/>
      <c r="V192" s="9"/>
      <c r="W192" s="9"/>
      <c r="X192" s="9"/>
    </row>
  </sheetData>
  <sheetProtection algorithmName="SHA-512" hashValue="K/FF/G5UPDApy+gYGS/YJ6dWA6KQZvbXfTkr4jJttj6q3SpTMU2UktZHXtM97y742L2z6Q3EuA6528Rn9x4kjg==" saltValue="5IEJRbxCsxi1JVmh1R2tfA==" spinCount="100000" sheet="1" formatCells="0" formatColumns="0" formatRows="0" insertColumns="0" autoFilter="0"/>
  <dataConsolidate link="1"/>
  <mergeCells count="27">
    <mergeCell ref="A2:I2"/>
    <mergeCell ref="D9:E9"/>
    <mergeCell ref="D5:E5"/>
    <mergeCell ref="D6:E6"/>
    <mergeCell ref="D7:E7"/>
    <mergeCell ref="D8:E8"/>
    <mergeCell ref="B33:B35"/>
    <mergeCell ref="B36:B39"/>
    <mergeCell ref="B40:B42"/>
    <mergeCell ref="B43:B46"/>
    <mergeCell ref="B47:B49"/>
    <mergeCell ref="D10:E10"/>
    <mergeCell ref="D11:E11"/>
    <mergeCell ref="B108:B113"/>
    <mergeCell ref="B142:B145"/>
    <mergeCell ref="B165:B167"/>
    <mergeCell ref="B54:B58"/>
    <mergeCell ref="B78:B81"/>
    <mergeCell ref="B86:B91"/>
    <mergeCell ref="B92:B96"/>
    <mergeCell ref="B97:B100"/>
    <mergeCell ref="B103:B106"/>
    <mergeCell ref="B50:B53"/>
    <mergeCell ref="D12:E12"/>
    <mergeCell ref="D13:E13"/>
    <mergeCell ref="D14:E14"/>
    <mergeCell ref="D15:E15"/>
  </mergeCells>
  <conditionalFormatting sqref="D5:D12">
    <cfRule type="expression" dxfId="42" priority="1">
      <formula>$H$5=1</formula>
    </cfRule>
  </conditionalFormatting>
  <conditionalFormatting sqref="D9:D10">
    <cfRule type="expression" dxfId="41" priority="2">
      <formula>$H$5=2</formula>
    </cfRule>
  </conditionalFormatting>
  <conditionalFormatting sqref="D13:D15 E20:X25 E34:X34 E37:X38 E41:X41 E44:X45 E59:X60 D79:D80 E88:X90 E93:X95 E98:X99 E104:X105 D130:D138 E143:X144">
    <cfRule type="expression" dxfId="40" priority="10">
      <formula>$H$5=2</formula>
    </cfRule>
  </conditionalFormatting>
  <conditionalFormatting sqref="D15 E21:X21 E24:X25 E87:X87 E93:X93 E98:X98 E101:X102 E104:X104 E107:X107">
    <cfRule type="expression" dxfId="39" priority="8">
      <formula>$H$5=4</formula>
    </cfRule>
  </conditionalFormatting>
  <conditionalFormatting sqref="E18:X27 E34:X34 E37:X38 E41:X41 E44:X45 E59:X60 E87:X90 E93:X95 E98:X99 E104:X105 E143:X144">
    <cfRule type="expression" dxfId="38" priority="9">
      <formula>$H$5=1</formula>
    </cfRule>
  </conditionalFormatting>
  <conditionalFormatting sqref="E51:X52">
    <cfRule type="expression" dxfId="37" priority="6">
      <formula>$H$5=1</formula>
    </cfRule>
    <cfRule type="expression" dxfId="36" priority="7">
      <formula>$H$5=2</formula>
    </cfRule>
  </conditionalFormatting>
  <conditionalFormatting sqref="E109:X109">
    <cfRule type="expression" dxfId="35" priority="3">
      <formula>$H$5=4</formula>
    </cfRule>
  </conditionalFormatting>
  <conditionalFormatting sqref="E166:X166">
    <cfRule type="expression" dxfId="34" priority="4">
      <formula>$H$5=1</formula>
    </cfRule>
    <cfRule type="expression" dxfId="33" priority="5">
      <formula>$H$5=2</formula>
    </cfRule>
  </conditionalFormatting>
  <dataValidations count="15">
    <dataValidation type="list" allowBlank="1" sqref="E51:X51">
      <formula1>"0%,50%,100%"</formula1>
    </dataValidation>
    <dataValidation type="list" allowBlank="1" sqref="E38:X38">
      <formula1>"0%,10%,20%,40%"</formula1>
    </dataValidation>
    <dataValidation type="list" sqref="E38:X38">
      <formula1>"0,10%,20%,40%"</formula1>
    </dataValidation>
    <dataValidation type="list" sqref="E37:X37">
      <formula1>"Salário Base, Salário Mínimo,Não incide"</formula1>
    </dataValidation>
    <dataValidation sqref="E40:X41 E43:X43 E47:X47 E50:X50 E54:X54 E33:X33 E36:X36"/>
    <dataValidation type="list" sqref="E34:X34">
      <formula1>"0%,30%"</formula1>
    </dataValidation>
    <dataValidation type="list" allowBlank="1" showInputMessage="1" sqref="E22:X22">
      <formula1>"180,200,220"</formula1>
    </dataValidation>
    <dataValidation type="list" allowBlank="1" showInputMessage="1" sqref="D11:E11">
      <formula1>"Valor Global,Mês,Dia,Hora"</formula1>
    </dataValidation>
    <dataValidation type="whole" allowBlank="1" showInputMessage="1" showErrorMessage="1" errorTitle="Erro de entrada" error="Informar a duração do contrato em meses" sqref="D12:E12">
      <formula1>1</formula1>
      <formula2>360</formula2>
    </dataValidation>
    <dataValidation type="list" showInputMessage="1" sqref="D141 D143">
      <formula1>"Indenização,Rendição,Não"</formula1>
    </dataValidation>
    <dataValidation type="list" allowBlank="1" showInputMessage="1" showErrorMessage="1" sqref="D56">
      <formula1>"Sim,Não"</formula1>
    </dataValidation>
    <dataValidation showInputMessage="1" sqref="D145 D167 D142"/>
    <dataValidation type="list" showInputMessage="1" sqref="E143:X143">
      <formula1>"Indenização,Rendição"</formula1>
    </dataValidation>
    <dataValidation allowBlank="1" sqref="A19:XFD19"/>
    <dataValidation type="list" allowBlank="1" sqref="D152">
      <formula1>"Sim,Não"</formula1>
    </dataValidation>
  </dataValidations>
  <hyperlinks>
    <hyperlink ref="C151" location="'Mat Individual e Uniformes func'!A1" display="Material Individual e Uniformes"/>
    <hyperlink ref="E25:H25" r:id="rId1" display="http://www3.mte.gov.br/sistemas/mediador/ConsultarInstColetivo"/>
    <hyperlink ref="I25" r:id="rId2" display="http://www3.mte.gov.br/sistemas/mediador/ConsultarInstColetivo"/>
    <hyperlink ref="J25" r:id="rId3" display="http://www3.mte.gov.br/sistemas/mediador/ConsultarInstColetivo"/>
    <hyperlink ref="K25" r:id="rId4" display="http://www3.mte.gov.br/sistemas/mediador/ConsultarInstColetivo"/>
    <hyperlink ref="L25" r:id="rId5" display="http://www3.mte.gov.br/sistemas/mediador/ConsultarInstColetivo"/>
    <hyperlink ref="M25" r:id="rId6" display="http://www3.mte.gov.br/sistemas/mediador/ConsultarInstColetivo"/>
    <hyperlink ref="N25" r:id="rId7" display="http://www3.mte.gov.br/sistemas/mediador/ConsultarInstColetivo"/>
    <hyperlink ref="C152" location="'Mat Coletivo e Equipamentos'!A1" display="Material Coletivo e Equipamentos"/>
    <hyperlink ref="O25" r:id="rId8" display="http://www3.mte.gov.br/sistemas/mediador/ConsultarInstColetivo"/>
    <hyperlink ref="P25" r:id="rId9" display="http://www3.mte.gov.br/sistemas/mediador/ConsultarInstColetivo"/>
    <hyperlink ref="Q25" r:id="rId10" display="http://www3.mte.gov.br/sistemas/mediador/ConsultarInstColetivo"/>
    <hyperlink ref="R25" r:id="rId11" display="http://www3.mte.gov.br/sistemas/mediador/ConsultarInstColetivo"/>
    <hyperlink ref="S25" r:id="rId12" display="http://www3.mte.gov.br/sistemas/mediador/ConsultarInstColetivo"/>
    <hyperlink ref="T25" r:id="rId13" display="http://www3.mte.gov.br/sistemas/mediador/ConsultarInstColetivo"/>
    <hyperlink ref="U25" r:id="rId14" display="http://www3.mte.gov.br/sistemas/mediador/ConsultarInstColetivo"/>
    <hyperlink ref="V25" r:id="rId15" display="http://www3.mte.gov.br/sistemas/mediador/ConsultarInstColetivo"/>
    <hyperlink ref="W25" r:id="rId16" display="http://www3.mte.gov.br/sistemas/mediador/ConsultarInstColetivo"/>
    <hyperlink ref="X25" r:id="rId17" display="http://www3.mte.gov.br/sistemas/mediador/ConsultarInstColetivo"/>
  </hyperlinks>
  <pageMargins left="0.51181102362204722" right="0.51181102362204722" top="0.78740157480314965" bottom="0.78740157480314965" header="0.31496062992125984" footer="0.31496062992125984"/>
  <pageSetup paperSize="9" fitToHeight="20" orientation="portrait" r:id="rId18"/>
  <headerFooter>
    <oddFooter>&amp;R&amp;P/&amp;N</oddFooter>
  </headerFooter>
  <drawing r:id="rId19"/>
  <legacyDrawing r:id="rId20"/>
  <mc:AlternateContent xmlns:mc="http://schemas.openxmlformats.org/markup-compatibility/2006">
    <mc:Choice Requires="x14">
      <controls>
        <mc:AlternateContent xmlns:mc="http://schemas.openxmlformats.org/markup-compatibility/2006">
          <mc:Choice Requires="x14">
            <control shapeId="30721" r:id="rId21" name="Group Box 1">
              <controlPr defaultSize="0" autoFill="0" autoPict="0">
                <anchor>
                  <from>
                    <xdr:col>5</xdr:col>
                    <xdr:colOff>323850</xdr:colOff>
                    <xdr:row>3</xdr:row>
                    <xdr:rowOff>0</xdr:rowOff>
                  </from>
                  <to>
                    <xdr:col>6</xdr:col>
                    <xdr:colOff>1095375</xdr:colOff>
                    <xdr:row>10</xdr:row>
                    <xdr:rowOff>114300</xdr:rowOff>
                  </to>
                </anchor>
              </controlPr>
            </control>
          </mc:Choice>
        </mc:AlternateContent>
        <mc:AlternateContent xmlns:mc="http://schemas.openxmlformats.org/markup-compatibility/2006">
          <mc:Choice Requires="x14">
            <control shapeId="30722" r:id="rId22" name="Option Button 2">
              <controlPr defaultSize="0" autoFill="0" autoLine="0" autoPict="0" altText="Formação de Preços">
                <anchor>
                  <from>
                    <xdr:col>5</xdr:col>
                    <xdr:colOff>476250</xdr:colOff>
                    <xdr:row>4</xdr:row>
                    <xdr:rowOff>9525</xdr:rowOff>
                  </from>
                  <to>
                    <xdr:col>6</xdr:col>
                    <xdr:colOff>542925</xdr:colOff>
                    <xdr:row>5</xdr:row>
                    <xdr:rowOff>85725</xdr:rowOff>
                  </to>
                </anchor>
              </controlPr>
            </control>
          </mc:Choice>
        </mc:AlternateContent>
        <mc:AlternateContent xmlns:mc="http://schemas.openxmlformats.org/markup-compatibility/2006">
          <mc:Choice Requires="x14">
            <control shapeId="30723" r:id="rId23" name="Option Button 3">
              <controlPr defaultSize="0" autoFill="0" autoLine="0" autoPict="0">
                <anchor moveWithCells="1">
                  <from>
                    <xdr:col>5</xdr:col>
                    <xdr:colOff>476250</xdr:colOff>
                    <xdr:row>5</xdr:row>
                    <xdr:rowOff>114300</xdr:rowOff>
                  </from>
                  <to>
                    <xdr:col>6</xdr:col>
                    <xdr:colOff>542925</xdr:colOff>
                    <xdr:row>7</xdr:row>
                    <xdr:rowOff>19050</xdr:rowOff>
                  </to>
                </anchor>
              </controlPr>
            </control>
          </mc:Choice>
        </mc:AlternateContent>
        <mc:AlternateContent xmlns:mc="http://schemas.openxmlformats.org/markup-compatibility/2006">
          <mc:Choice Requires="x14">
            <control shapeId="30724" r:id="rId24" name="Option Button 4">
              <controlPr defaultSize="0" autoFill="0" autoLine="0" autoPict="0">
                <anchor moveWithCells="1">
                  <from>
                    <xdr:col>5</xdr:col>
                    <xdr:colOff>476250</xdr:colOff>
                    <xdr:row>8</xdr:row>
                    <xdr:rowOff>171450</xdr:rowOff>
                  </from>
                  <to>
                    <xdr:col>6</xdr:col>
                    <xdr:colOff>542925</xdr:colOff>
                    <xdr:row>10</xdr:row>
                    <xdr:rowOff>66675</xdr:rowOff>
                  </to>
                </anchor>
              </controlPr>
            </control>
          </mc:Choice>
        </mc:AlternateContent>
        <mc:AlternateContent xmlns:mc="http://schemas.openxmlformats.org/markup-compatibility/2006">
          <mc:Choice Requires="x14">
            <control shapeId="30725" r:id="rId25" name="Option Button 5">
              <controlPr defaultSize="0" autoFill="0" autoLine="0" autoPict="0" altText="Formação de Preços">
                <anchor>
                  <from>
                    <xdr:col>5</xdr:col>
                    <xdr:colOff>476250</xdr:colOff>
                    <xdr:row>7</xdr:row>
                    <xdr:rowOff>47625</xdr:rowOff>
                  </from>
                  <to>
                    <xdr:col>6</xdr:col>
                    <xdr:colOff>542925</xdr:colOff>
                    <xdr:row>8</xdr:row>
                    <xdr:rowOff>142875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x14:formula1>
            <xm:f>'Apoio - Posto'!$B:$B</xm:f>
          </x14:formula1>
          <xm:sqref>E20:X20</xm:sqref>
        </x14:dataValidation>
        <x14:dataValidation type="list" allowBlank="1">
          <x14:formula1>
            <xm:f>'Apoio - Posto'!$A:$A</xm:f>
          </x14:formula1>
          <xm:sqref>E18:X18</xm:sqref>
        </x14:dataValidation>
        <x14:dataValidation type="list">
          <x14:formula1>
            <xm:f>'Apoio - Posto'!$C:$C</xm:f>
          </x14:formula1>
          <xm:sqref>E23:X23</xm:sqref>
        </x14:dataValidation>
        <x14:dataValidation type="list" allowBlank="1">
          <x14:formula1>
            <xm:f>'Apoio - Dados'!$A:$A</xm:f>
          </x14:formula1>
          <xm:sqref>D5:E5</xm:sqref>
        </x14:dataValidation>
        <x14:dataValidation type="list" allowBlank="1" showInputMessage="1" showErrorMessage="1">
          <x14:formula1>
            <xm:f>'Apoio - Notas Explicativas'!$H$15:$K$15</xm:f>
          </x14:formula1>
          <xm:sqref>D13</xm:sqref>
        </x14:dataValidation>
        <x14:dataValidation type="list" allowBlank="1" showInputMessage="1" showErrorMessage="1">
          <x14:formula1>
            <xm:f>'Apoio - Posto'!#REF!</xm:f>
          </x14:formula1>
          <xm:sqref>G10:G11</xm:sqref>
        </x14:dataValidation>
        <x14:dataValidation type="list" allowBlank="1" showInputMessage="1" showErrorMessage="1">
          <x14:formula1>
            <xm:f>'Apoio - Regime de Trabalho'!$A:$A</xm:f>
          </x14:formula1>
          <xm:sqref>E26:X26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6"/>
  <dimension ref="B1:AC31"/>
  <sheetViews>
    <sheetView showGridLines="0" zoomScale="90" zoomScaleNormal="90" workbookViewId="0">
      <selection activeCell="D6" sqref="D6"/>
    </sheetView>
  </sheetViews>
  <sheetFormatPr defaultRowHeight="15"/>
  <cols>
    <col min="1" max="1" width="1.42578125" style="42" customWidth="1"/>
    <col min="2" max="2" width="7.42578125" style="42" customWidth="1"/>
    <col min="3" max="3" width="10.7109375" style="290" customWidth="1"/>
    <col min="4" max="4" width="48.42578125" style="42" customWidth="1"/>
    <col min="5" max="5" width="14" style="297" customWidth="1"/>
    <col min="6" max="6" width="15" style="42" customWidth="1"/>
    <col min="7" max="7" width="11.7109375" style="42" bestFit="1" customWidth="1"/>
    <col min="8" max="8" width="18.140625" style="42" customWidth="1"/>
    <col min="9" max="9" width="0.7109375" style="42" customWidth="1"/>
    <col min="10" max="14" width="12.28515625" style="42" customWidth="1"/>
    <col min="15" max="19" width="10.5703125" style="42" hidden="1" customWidth="1"/>
    <col min="20" max="29" width="0" style="42" hidden="1" customWidth="1"/>
    <col min="30" max="16384" width="9.140625" style="42"/>
  </cols>
  <sheetData>
    <row r="1" spans="2:29" ht="9.75" customHeight="1"/>
    <row r="2" spans="2:29">
      <c r="B2" s="824" t="s">
        <v>352</v>
      </c>
      <c r="C2" s="825"/>
      <c r="D2" s="825"/>
      <c r="E2" s="825"/>
      <c r="F2" s="825"/>
      <c r="G2" s="826"/>
      <c r="H2" s="717"/>
      <c r="J2" s="827" t="s">
        <v>401</v>
      </c>
      <c r="K2" s="828"/>
      <c r="L2" s="828"/>
      <c r="M2" s="828"/>
      <c r="N2" s="828"/>
      <c r="O2" s="828"/>
      <c r="P2" s="828"/>
      <c r="Q2" s="828"/>
      <c r="R2" s="828"/>
      <c r="S2" s="828"/>
      <c r="T2" s="828"/>
      <c r="U2" s="828"/>
      <c r="V2" s="828"/>
      <c r="W2" s="828"/>
      <c r="X2" s="828"/>
      <c r="Y2" s="828"/>
      <c r="Z2" s="828"/>
      <c r="AA2" s="828"/>
      <c r="AB2" s="828"/>
      <c r="AC2" s="829"/>
    </row>
    <row r="3" spans="2:29" ht="45">
      <c r="B3" s="641" t="s">
        <v>184</v>
      </c>
      <c r="C3" s="641" t="s">
        <v>40</v>
      </c>
      <c r="D3" s="641" t="s">
        <v>493</v>
      </c>
      <c r="E3" s="641" t="s">
        <v>492</v>
      </c>
      <c r="F3" s="641" t="s">
        <v>41</v>
      </c>
      <c r="G3" s="641" t="s">
        <v>485</v>
      </c>
      <c r="H3" s="641" t="s">
        <v>486</v>
      </c>
      <c r="J3" s="641" t="str">
        <f xml:space="preserve">
IF(IFERROR(SUM(Produtividade!$L$196:$L$221)&gt;0,FALSE()),Produtividade!E17,'Mão de Obra'!E17)</f>
        <v>Posto A</v>
      </c>
      <c r="K3" s="641" t="str">
        <f xml:space="preserve">
IF(IFERROR(SUM(Produtividade!$L$196:$L$221)&gt;0,FALSE()),Produtividade!F17,'Mão de Obra'!F17)</f>
        <v>Posto B</v>
      </c>
      <c r="L3" s="641" t="str">
        <f xml:space="preserve">
IF(IFERROR(SUM(Produtividade!$L$196:$L$221)&gt;0,FALSE()),Produtividade!G17,'Mão de Obra'!G17)</f>
        <v>Posto C</v>
      </c>
      <c r="M3" s="641" t="str">
        <f xml:space="preserve">
IF(IFERROR(SUM(Produtividade!$L$196:$L$221)&gt;0,FALSE()),Produtividade!H17,'Mão de Obra'!H17)</f>
        <v>Posto D</v>
      </c>
      <c r="N3" s="641" t="str">
        <f xml:space="preserve">
IF(IFERROR(SUM(Produtividade!$L$196:$L$221)&gt;0,FALSE()),Produtividade!I17,'Mão de Obra'!I17)</f>
        <v>Posto E</v>
      </c>
      <c r="O3" s="641" t="str">
        <f xml:space="preserve">
IF(IFERROR(SUM(Produtividade!$L$196:$L$221)&gt;0,FALSE()),Produtividade!J17,'Mão de Obra'!J17)</f>
        <v>Posto F</v>
      </c>
      <c r="P3" s="641" t="str">
        <f xml:space="preserve">
IF(IFERROR(SUM(Produtividade!$L$196:$L$221)&gt;0,FALSE()),Produtividade!K17,'Mão de Obra'!K17)</f>
        <v>Posto G</v>
      </c>
      <c r="Q3" s="641" t="str">
        <f xml:space="preserve">
IF(IFERROR(SUM(Produtividade!$L$196:$L$221)&gt;0,FALSE()),Produtividade!L17,'Mão de Obra'!L17)</f>
        <v>Posto H</v>
      </c>
      <c r="R3" s="641" t="str">
        <f xml:space="preserve">
IF(IFERROR(SUM(Produtividade!$L$196:$L$221)&gt;0,FALSE()),Produtividade!M17,'Mão de Obra'!M17)</f>
        <v>Posto I</v>
      </c>
      <c r="S3" s="641" t="str">
        <f xml:space="preserve">
IF(IFERROR(SUM(Produtividade!$L$196:$L$221)&gt;0,FALSE()),Produtividade!N17,'Mão de Obra'!N17)</f>
        <v>Posto J</v>
      </c>
      <c r="T3" s="641" t="str">
        <f xml:space="preserve">
IF(IFERROR(SUM(Produtividade!$L$196:$L$221)&gt;0,FALSE()),Produtividade!O17,'Mão de Obra'!O17)</f>
        <v>Posto K</v>
      </c>
      <c r="U3" s="641" t="str">
        <f xml:space="preserve">
IF(IFERROR(SUM(Produtividade!$L$196:$L$221)&gt;0,FALSE()),Produtividade!P17,'Mão de Obra'!P17)</f>
        <v>Posto L</v>
      </c>
      <c r="V3" s="641" t="str">
        <f xml:space="preserve">
IF(IFERROR(SUM(Produtividade!$L$196:$L$221)&gt;0,FALSE()),Produtividade!Q17,'Mão de Obra'!Q17)</f>
        <v>Posto M</v>
      </c>
      <c r="W3" s="641" t="str">
        <f xml:space="preserve">
IF(IFERROR(SUM(Produtividade!$L$196:$L$221)&gt;0,FALSE()),Produtividade!R17,'Mão de Obra'!R17)</f>
        <v>Posto N</v>
      </c>
      <c r="X3" s="641" t="str">
        <f xml:space="preserve">
IF(IFERROR(SUM(Produtividade!$L$196:$L$221)&gt;0,FALSE()),Produtividade!S17,'Mão de Obra'!S17)</f>
        <v>Posto O</v>
      </c>
      <c r="Y3" s="641" t="str">
        <f xml:space="preserve">
IF(IFERROR(SUM(Produtividade!$L$196:$L$221)&gt;0,FALSE()),Produtividade!T17,'Mão de Obra'!T17)</f>
        <v>Posto P</v>
      </c>
      <c r="Z3" s="641" t="str">
        <f xml:space="preserve">
IF(IFERROR(SUM(Produtividade!$L$196:$L$221)&gt;0,FALSE()),Produtividade!U17,'Mão de Obra'!U17)</f>
        <v>Posto Q</v>
      </c>
      <c r="AA3" s="641" t="str">
        <f xml:space="preserve">
IF(IFERROR(SUM(Produtividade!$L$196:$L$221)&gt;0,FALSE()),Produtividade!V17,'Mão de Obra'!V17)</f>
        <v>Posto R</v>
      </c>
      <c r="AB3" s="641" t="str">
        <f xml:space="preserve">
IF(IFERROR(SUM(Produtividade!$L$196:$L$221)&gt;0,FALSE()),Produtividade!W17,'Mão de Obra'!W17)</f>
        <v>Posto S</v>
      </c>
      <c r="AC3" s="641" t="str">
        <f xml:space="preserve">
IF(IFERROR(SUM(Produtividade!$L$196:$L$221)&gt;0,FALSE()),Produtividade!X17,'Mão de Obra'!X17)</f>
        <v>Posto T</v>
      </c>
    </row>
    <row r="4" spans="2:29">
      <c r="F4" s="821" t="s">
        <v>552</v>
      </c>
      <c r="G4" s="822"/>
      <c r="H4" s="823"/>
      <c r="J4" s="718">
        <f>IFERROR(ROUND(SUMPRODUCT(J6:J1000,$H$6:$H$1000),2),"")</f>
        <v>0</v>
      </c>
      <c r="K4" s="718">
        <f t="shared" ref="K4:S4" si="0">IFERROR(ROUND(SUMPRODUCT(K6:K1000,$H$6:$H$1000),2),"")</f>
        <v>0</v>
      </c>
      <c r="L4" s="718">
        <f t="shared" si="0"/>
        <v>0</v>
      </c>
      <c r="M4" s="718">
        <f t="shared" si="0"/>
        <v>0</v>
      </c>
      <c r="N4" s="718">
        <f t="shared" si="0"/>
        <v>0</v>
      </c>
      <c r="O4" s="718">
        <f t="shared" si="0"/>
        <v>0</v>
      </c>
      <c r="P4" s="718">
        <f t="shared" si="0"/>
        <v>0</v>
      </c>
      <c r="Q4" s="718">
        <f t="shared" si="0"/>
        <v>0</v>
      </c>
      <c r="R4" s="718">
        <f t="shared" si="0"/>
        <v>0</v>
      </c>
      <c r="S4" s="718">
        <f t="shared" si="0"/>
        <v>0</v>
      </c>
      <c r="T4" s="718">
        <f t="shared" ref="T4:Y4" si="1">IFERROR(ROUND(SUMPRODUCT(T6:T1000,$H$6:$H$1000),2),"")</f>
        <v>0</v>
      </c>
      <c r="U4" s="718">
        <f t="shared" si="1"/>
        <v>0</v>
      </c>
      <c r="V4" s="718">
        <f t="shared" si="1"/>
        <v>0</v>
      </c>
      <c r="W4" s="718">
        <f t="shared" si="1"/>
        <v>0</v>
      </c>
      <c r="X4" s="718">
        <f t="shared" si="1"/>
        <v>0</v>
      </c>
      <c r="Y4" s="718">
        <f t="shared" si="1"/>
        <v>0</v>
      </c>
      <c r="Z4" s="718">
        <f t="shared" ref="Z4:AC4" si="2">IFERROR(ROUND(SUMPRODUCT(Z6:Z1000,$H$6:$H$1000),2),"")</f>
        <v>0</v>
      </c>
      <c r="AA4" s="718">
        <f t="shared" si="2"/>
        <v>0</v>
      </c>
      <c r="AB4" s="718">
        <f t="shared" si="2"/>
        <v>0</v>
      </c>
      <c r="AC4" s="718">
        <f t="shared" si="2"/>
        <v>0</v>
      </c>
    </row>
    <row r="5" spans="2:29">
      <c r="C5" s="42"/>
      <c r="E5" s="42"/>
    </row>
    <row r="6" spans="2:29">
      <c r="B6" s="249">
        <v>1</v>
      </c>
      <c r="C6" s="250"/>
      <c r="D6" s="251"/>
      <c r="E6" s="249" t="str">
        <f>IFERROR(VLOOKUP($D6,'Apoio - Uniforme e EPIs'!$A:$D,2,FALSE),"")</f>
        <v/>
      </c>
      <c r="F6" s="716" t="str">
        <f>IFERROR(VLOOKUP($D6,'Apoio - Uniforme e EPIs'!$A:$D,3,FALSE),"")</f>
        <v/>
      </c>
      <c r="G6" s="719" t="str">
        <f>IFERROR(IF(VLOOKUP($D6,'Apoio - Uniforme e EPIs'!$A:$D,4,FALSE)=0,"",VLOOKUP($D6,'Apoio - Uniforme e EPIs'!$A:$D,4,FALSE)),"")</f>
        <v/>
      </c>
      <c r="H6" s="252" t="str">
        <f>IFERROR(IF(ISNUMBER(G6),G6*'Mão de Obra'!$D$12/12,1)*F6,"")</f>
        <v/>
      </c>
      <c r="J6" s="249"/>
      <c r="K6" s="249"/>
      <c r="L6" s="249"/>
      <c r="M6" s="249"/>
      <c r="N6" s="249"/>
      <c r="O6" s="249"/>
      <c r="P6" s="249"/>
      <c r="Q6" s="249"/>
      <c r="R6" s="249"/>
      <c r="S6" s="249"/>
      <c r="T6" s="249"/>
      <c r="U6" s="249"/>
      <c r="V6" s="249"/>
      <c r="W6" s="249"/>
      <c r="X6" s="249"/>
      <c r="Y6" s="249"/>
      <c r="Z6" s="249"/>
      <c r="AA6" s="249"/>
      <c r="AB6" s="249"/>
      <c r="AC6" s="249"/>
    </row>
    <row r="7" spans="2:29">
      <c r="B7" s="249">
        <v>2</v>
      </c>
      <c r="C7" s="250"/>
      <c r="D7" s="251"/>
      <c r="E7" s="249" t="str">
        <f>IFERROR(VLOOKUP($D7,'Apoio - Uniforme e EPIs'!$A:$C,2,FALSE),"")</f>
        <v/>
      </c>
      <c r="F7" s="716" t="str">
        <f>IFERROR(VLOOKUP($D7,'Apoio - Uniforme e EPIs'!$A:$D,3,FALSE),"")</f>
        <v/>
      </c>
      <c r="G7" s="719" t="str">
        <f>IFERROR(IF(VLOOKUP($D7,'Apoio - Uniforme e EPIs'!$A:$D,4,FALSE)=0,"",VLOOKUP($D7,'Apoio - Uniforme e EPIs'!$A:$D,4,FALSE)),"")</f>
        <v/>
      </c>
      <c r="H7" s="252" t="str">
        <f>IFERROR(IF(ISNUMBER(G7),G7*'Mão de Obra'!$D$12/12,1)*F7,"")</f>
        <v/>
      </c>
      <c r="J7" s="249"/>
      <c r="K7" s="249"/>
      <c r="L7" s="249"/>
      <c r="M7" s="249"/>
      <c r="N7" s="249"/>
      <c r="O7" s="249"/>
      <c r="P7" s="249"/>
      <c r="Q7" s="249"/>
      <c r="R7" s="249"/>
      <c r="S7" s="249"/>
      <c r="T7" s="249"/>
      <c r="U7" s="249"/>
      <c r="V7" s="249"/>
      <c r="W7" s="249"/>
      <c r="X7" s="249"/>
      <c r="Y7" s="249"/>
      <c r="Z7" s="249"/>
      <c r="AA7" s="249"/>
      <c r="AB7" s="249"/>
      <c r="AC7" s="249"/>
    </row>
    <row r="8" spans="2:29">
      <c r="B8" s="249">
        <v>3</v>
      </c>
      <c r="C8" s="250"/>
      <c r="D8" s="251"/>
      <c r="E8" s="249" t="str">
        <f>IFERROR(VLOOKUP($D8,'Apoio - Uniforme e EPIs'!$A:$C,2,FALSE),"")</f>
        <v/>
      </c>
      <c r="F8" s="716" t="str">
        <f>IFERROR(VLOOKUP($D8,'Apoio - Uniforme e EPIs'!$A:$D,3,FALSE),"")</f>
        <v/>
      </c>
      <c r="G8" s="719" t="str">
        <f>IFERROR(IF(VLOOKUP($D8,'Apoio - Uniforme e EPIs'!$A:$D,4,FALSE)=0,"",VLOOKUP($D8,'Apoio - Uniforme e EPIs'!$A:$D,4,FALSE)),"")</f>
        <v/>
      </c>
      <c r="H8" s="252" t="str">
        <f>IFERROR(IF(ISNUMBER(G8),G8*'Mão de Obra'!$D$12/12,1)*F8,"")</f>
        <v/>
      </c>
      <c r="J8" s="249"/>
      <c r="K8" s="249"/>
      <c r="L8" s="249"/>
      <c r="M8" s="249"/>
      <c r="N8" s="249"/>
      <c r="O8" s="249"/>
      <c r="P8" s="249"/>
      <c r="Q8" s="249"/>
      <c r="R8" s="249"/>
      <c r="S8" s="249"/>
      <c r="T8" s="249"/>
      <c r="U8" s="249"/>
      <c r="V8" s="249"/>
      <c r="W8" s="249"/>
      <c r="X8" s="249"/>
      <c r="Y8" s="249"/>
      <c r="Z8" s="249"/>
      <c r="AA8" s="249"/>
      <c r="AB8" s="249"/>
      <c r="AC8" s="249"/>
    </row>
    <row r="9" spans="2:29">
      <c r="B9" s="249">
        <v>4</v>
      </c>
      <c r="C9" s="250"/>
      <c r="D9" s="251"/>
      <c r="E9" s="249" t="str">
        <f>IFERROR(VLOOKUP($D9,'Apoio - Uniforme e EPIs'!$A:$C,2,FALSE),"")</f>
        <v/>
      </c>
      <c r="F9" s="716" t="str">
        <f>IFERROR(VLOOKUP($D9,'Apoio - Uniforme e EPIs'!$A:$D,3,FALSE),"")</f>
        <v/>
      </c>
      <c r="G9" s="719" t="str">
        <f>IFERROR(IF(VLOOKUP($D9,'Apoio - Uniforme e EPIs'!$A:$D,4,FALSE)=0,"",VLOOKUP($D9,'Apoio - Uniforme e EPIs'!$A:$D,4,FALSE)),"")</f>
        <v/>
      </c>
      <c r="H9" s="252" t="str">
        <f>IFERROR(IF(ISNUMBER(G9),G9*'Mão de Obra'!$D$12/12,1)*F9,"")</f>
        <v/>
      </c>
      <c r="J9" s="249"/>
      <c r="K9" s="249"/>
      <c r="L9" s="249"/>
      <c r="M9" s="249"/>
      <c r="N9" s="249"/>
      <c r="O9" s="249"/>
      <c r="P9" s="249"/>
      <c r="Q9" s="249"/>
      <c r="R9" s="249"/>
      <c r="S9" s="249"/>
      <c r="T9" s="249"/>
      <c r="U9" s="249"/>
      <c r="V9" s="249"/>
      <c r="W9" s="249"/>
      <c r="X9" s="249"/>
      <c r="Y9" s="249"/>
      <c r="Z9" s="249"/>
      <c r="AA9" s="249"/>
      <c r="AB9" s="249"/>
      <c r="AC9" s="249"/>
    </row>
    <row r="10" spans="2:29">
      <c r="B10" s="249">
        <v>5</v>
      </c>
      <c r="C10" s="250"/>
      <c r="D10" s="251"/>
      <c r="E10" s="249" t="str">
        <f>IFERROR(VLOOKUP($D10,'Apoio - Uniforme e EPIs'!$A:$C,2,FALSE),"")</f>
        <v/>
      </c>
      <c r="F10" s="716" t="str">
        <f>IFERROR(VLOOKUP($D10,'Apoio - Uniforme e EPIs'!$A:$D,3,FALSE),"")</f>
        <v/>
      </c>
      <c r="G10" s="719" t="str">
        <f>IFERROR(IF(VLOOKUP($D10,'Apoio - Uniforme e EPIs'!$A:$D,4,FALSE)=0,"",VLOOKUP($D10,'Apoio - Uniforme e EPIs'!$A:$D,4,FALSE)),"")</f>
        <v/>
      </c>
      <c r="H10" s="252" t="str">
        <f>IFERROR(IF(ISNUMBER(G10),G10*'Mão de Obra'!$D$12/12,1)*F10,"")</f>
        <v/>
      </c>
      <c r="J10" s="249"/>
      <c r="K10" s="249"/>
      <c r="L10" s="249"/>
      <c r="M10" s="249"/>
      <c r="N10" s="249"/>
      <c r="O10" s="249"/>
      <c r="P10" s="249"/>
      <c r="Q10" s="249"/>
      <c r="R10" s="249"/>
      <c r="S10" s="249"/>
      <c r="T10" s="249"/>
      <c r="U10" s="249"/>
      <c r="V10" s="249"/>
      <c r="W10" s="249"/>
      <c r="X10" s="249"/>
      <c r="Y10" s="249"/>
      <c r="Z10" s="249"/>
      <c r="AA10" s="249"/>
      <c r="AB10" s="249"/>
      <c r="AC10" s="249"/>
    </row>
    <row r="11" spans="2:29">
      <c r="B11" s="249">
        <v>6</v>
      </c>
      <c r="C11" s="250"/>
      <c r="D11" s="251"/>
      <c r="E11" s="249" t="str">
        <f>IFERROR(VLOOKUP($D11,'Apoio - Uniforme e EPIs'!$A:$C,2,FALSE),"")</f>
        <v/>
      </c>
      <c r="F11" s="716" t="str">
        <f>IFERROR(VLOOKUP($D11,'Apoio - Uniforme e EPIs'!$A:$D,3,FALSE),"")</f>
        <v/>
      </c>
      <c r="G11" s="719" t="str">
        <f>IFERROR(IF(VLOOKUP($D11,'Apoio - Uniforme e EPIs'!$A:$D,4,FALSE)=0,"",VLOOKUP($D11,'Apoio - Uniforme e EPIs'!$A:$D,4,FALSE)),"")</f>
        <v/>
      </c>
      <c r="H11" s="252" t="str">
        <f>IFERROR(IF(ISNUMBER(G11),G11*'Mão de Obra'!$D$12/12,1)*F11,"")</f>
        <v/>
      </c>
      <c r="J11" s="249"/>
      <c r="K11" s="249"/>
      <c r="L11" s="249"/>
      <c r="M11" s="249"/>
      <c r="N11" s="249"/>
      <c r="O11" s="249"/>
      <c r="P11" s="249"/>
      <c r="Q11" s="249"/>
      <c r="R11" s="249"/>
      <c r="S11" s="249"/>
      <c r="T11" s="249"/>
      <c r="U11" s="249"/>
      <c r="V11" s="249"/>
      <c r="W11" s="249"/>
      <c r="X11" s="249"/>
      <c r="Y11" s="249"/>
      <c r="Z11" s="249"/>
      <c r="AA11" s="249"/>
      <c r="AB11" s="249"/>
      <c r="AC11" s="249"/>
    </row>
    <row r="12" spans="2:29">
      <c r="B12" s="249">
        <v>7</v>
      </c>
      <c r="C12" s="250"/>
      <c r="D12" s="251"/>
      <c r="E12" s="249" t="str">
        <f>IFERROR(VLOOKUP($D12,'Apoio - Uniforme e EPIs'!$A:$C,2,FALSE),"")</f>
        <v/>
      </c>
      <c r="F12" s="716" t="str">
        <f>IFERROR(VLOOKUP($D12,'Apoio - Uniforme e EPIs'!$A:$D,3,FALSE),"")</f>
        <v/>
      </c>
      <c r="G12" s="719" t="str">
        <f>IFERROR(IF(VLOOKUP($D12,'Apoio - Uniforme e EPIs'!$A:$D,4,FALSE)=0,"",VLOOKUP($D12,'Apoio - Uniforme e EPIs'!$A:$D,4,FALSE)),"")</f>
        <v/>
      </c>
      <c r="H12" s="252" t="str">
        <f>IFERROR(IF(ISNUMBER(G12),G12*'Mão de Obra'!$D$12/12,1)*F12,"")</f>
        <v/>
      </c>
      <c r="J12" s="249"/>
      <c r="K12" s="249"/>
      <c r="L12" s="249"/>
      <c r="M12" s="249"/>
      <c r="N12" s="249"/>
      <c r="O12" s="249"/>
      <c r="P12" s="249"/>
      <c r="Q12" s="249"/>
      <c r="R12" s="249"/>
      <c r="S12" s="249"/>
      <c r="T12" s="249"/>
      <c r="U12" s="249"/>
      <c r="V12" s="249"/>
      <c r="W12" s="249"/>
      <c r="X12" s="249"/>
      <c r="Y12" s="249"/>
      <c r="Z12" s="249"/>
      <c r="AA12" s="249"/>
      <c r="AB12" s="249"/>
      <c r="AC12" s="249"/>
    </row>
    <row r="13" spans="2:29">
      <c r="B13" s="249">
        <v>8</v>
      </c>
      <c r="C13" s="250"/>
      <c r="D13" s="251"/>
      <c r="E13" s="249" t="str">
        <f>IFERROR(VLOOKUP($D13,'Apoio - Uniforme e EPIs'!$A:$C,2,FALSE),"")</f>
        <v/>
      </c>
      <c r="F13" s="716" t="str">
        <f>IFERROR(VLOOKUP($D13,'Apoio - Uniforme e EPIs'!$A:$D,3,FALSE),"")</f>
        <v/>
      </c>
      <c r="G13" s="719" t="str">
        <f>IFERROR(IF(VLOOKUP($D13,'Apoio - Uniforme e EPIs'!$A:$D,4,FALSE)=0,"",VLOOKUP($D13,'Apoio - Uniforme e EPIs'!$A:$D,4,FALSE)),"")</f>
        <v/>
      </c>
      <c r="H13" s="252" t="str">
        <f>IFERROR(IF(ISNUMBER(G13),G13*'Mão de Obra'!$D$12/12,1)*F13,"")</f>
        <v/>
      </c>
      <c r="J13" s="249"/>
      <c r="K13" s="249"/>
      <c r="L13" s="249"/>
      <c r="M13" s="249"/>
      <c r="N13" s="249"/>
      <c r="O13" s="249"/>
      <c r="P13" s="249"/>
      <c r="Q13" s="249"/>
      <c r="R13" s="249"/>
      <c r="S13" s="249"/>
      <c r="T13" s="249"/>
      <c r="U13" s="249"/>
      <c r="V13" s="249"/>
      <c r="W13" s="249"/>
      <c r="X13" s="249"/>
      <c r="Y13" s="249"/>
      <c r="Z13" s="249"/>
      <c r="AA13" s="249"/>
      <c r="AB13" s="249"/>
      <c r="AC13" s="249"/>
    </row>
    <row r="14" spans="2:29">
      <c r="B14" s="249">
        <v>9</v>
      </c>
      <c r="C14" s="250"/>
      <c r="D14" s="251"/>
      <c r="E14" s="249" t="str">
        <f>IFERROR(VLOOKUP($D14,'Apoio - Uniforme e EPIs'!$A:$C,2,FALSE),"")</f>
        <v/>
      </c>
      <c r="F14" s="716" t="str">
        <f>IFERROR(VLOOKUP($D14,'Apoio - Uniforme e EPIs'!$A:$D,3,FALSE),"")</f>
        <v/>
      </c>
      <c r="G14" s="719" t="str">
        <f>IFERROR(IF(VLOOKUP($D14,'Apoio - Uniforme e EPIs'!$A:$D,4,FALSE)=0,"",VLOOKUP($D14,'Apoio - Uniforme e EPIs'!$A:$D,4,FALSE)),"")</f>
        <v/>
      </c>
      <c r="H14" s="252" t="str">
        <f>IFERROR(IF(ISNUMBER(G14),G14*'Mão de Obra'!$D$12/12,1)*F14,"")</f>
        <v/>
      </c>
      <c r="J14" s="249"/>
      <c r="K14" s="249"/>
      <c r="L14" s="249"/>
      <c r="M14" s="249"/>
      <c r="N14" s="249"/>
      <c r="O14" s="249"/>
      <c r="P14" s="249"/>
      <c r="Q14" s="249"/>
      <c r="R14" s="249"/>
      <c r="S14" s="249"/>
      <c r="T14" s="249"/>
      <c r="U14" s="249"/>
      <c r="V14" s="249"/>
      <c r="W14" s="249"/>
      <c r="X14" s="249"/>
      <c r="Y14" s="249"/>
      <c r="Z14" s="249"/>
      <c r="AA14" s="249"/>
      <c r="AB14" s="249"/>
      <c r="AC14" s="249"/>
    </row>
    <row r="15" spans="2:29">
      <c r="B15" s="249">
        <v>10</v>
      </c>
      <c r="C15" s="250"/>
      <c r="D15" s="251"/>
      <c r="E15" s="249" t="str">
        <f>IFERROR(VLOOKUP($D15,'Apoio - Uniforme e EPIs'!$A:$C,2,FALSE),"")</f>
        <v/>
      </c>
      <c r="F15" s="716" t="str">
        <f>IFERROR(VLOOKUP($D15,'Apoio - Uniforme e EPIs'!$A:$D,3,FALSE),"")</f>
        <v/>
      </c>
      <c r="G15" s="719" t="str">
        <f>IFERROR(IF(VLOOKUP($D15,'Apoio - Uniforme e EPIs'!$A:$D,4,FALSE)=0,"",VLOOKUP($D15,'Apoio - Uniforme e EPIs'!$A:$D,4,FALSE)),"")</f>
        <v/>
      </c>
      <c r="H15" s="252" t="str">
        <f>IFERROR(IF(ISNUMBER(G15),G15*'Mão de Obra'!$D$12/12,1)*F15,"")</f>
        <v/>
      </c>
      <c r="J15" s="249"/>
      <c r="K15" s="249"/>
      <c r="L15" s="249"/>
      <c r="M15" s="249"/>
      <c r="N15" s="249"/>
      <c r="O15" s="249"/>
      <c r="P15" s="249"/>
      <c r="Q15" s="249"/>
      <c r="R15" s="249"/>
      <c r="S15" s="249"/>
      <c r="T15" s="249"/>
      <c r="U15" s="249"/>
      <c r="V15" s="249"/>
      <c r="W15" s="249"/>
      <c r="X15" s="249"/>
      <c r="Y15" s="249"/>
      <c r="Z15" s="249"/>
      <c r="AA15" s="249"/>
      <c r="AB15" s="249"/>
      <c r="AC15" s="249"/>
    </row>
    <row r="16" spans="2:29">
      <c r="B16" s="249">
        <v>11</v>
      </c>
      <c r="C16" s="250"/>
      <c r="D16" s="251"/>
      <c r="E16" s="249" t="str">
        <f>IFERROR(VLOOKUP($D16,'Apoio - Uniforme e EPIs'!$A:$C,2,FALSE),"")</f>
        <v/>
      </c>
      <c r="F16" s="716" t="str">
        <f>IFERROR(VLOOKUP($D16,'Apoio - Uniforme e EPIs'!$A:$D,3,FALSE),"")</f>
        <v/>
      </c>
      <c r="G16" s="719" t="str">
        <f>IFERROR(IF(VLOOKUP($D16,'Apoio - Uniforme e EPIs'!$A:$D,4,FALSE)=0,"",VLOOKUP($D16,'Apoio - Uniforme e EPIs'!$A:$D,4,FALSE)),"")</f>
        <v/>
      </c>
      <c r="H16" s="252" t="str">
        <f>IFERROR(IF(ISNUMBER(G16),G16*'Mão de Obra'!$D$12/12,1)*F16,"")</f>
        <v/>
      </c>
      <c r="J16" s="249"/>
      <c r="K16" s="249"/>
      <c r="L16" s="249"/>
      <c r="M16" s="249"/>
      <c r="N16" s="249"/>
      <c r="O16" s="249"/>
      <c r="P16" s="249"/>
      <c r="Q16" s="249"/>
      <c r="R16" s="249"/>
      <c r="S16" s="249"/>
      <c r="T16" s="249"/>
      <c r="U16" s="249"/>
      <c r="V16" s="249"/>
      <c r="W16" s="249"/>
      <c r="X16" s="249"/>
      <c r="Y16" s="249"/>
      <c r="Z16" s="249"/>
      <c r="AA16" s="249"/>
      <c r="AB16" s="249"/>
      <c r="AC16" s="249"/>
    </row>
    <row r="17" spans="2:29">
      <c r="B17" s="249">
        <v>12</v>
      </c>
      <c r="C17" s="250"/>
      <c r="D17" s="251"/>
      <c r="E17" s="249" t="str">
        <f>IFERROR(VLOOKUP($D17,'Apoio - Uniforme e EPIs'!$A:$C,2,FALSE),"")</f>
        <v/>
      </c>
      <c r="F17" s="716" t="str">
        <f>IFERROR(VLOOKUP($D17,'Apoio - Uniforme e EPIs'!$A:$D,3,FALSE),"")</f>
        <v/>
      </c>
      <c r="G17" s="719" t="str">
        <f>IFERROR(IF(VLOOKUP($D17,'Apoio - Uniforme e EPIs'!$A:$D,4,FALSE)=0,"",VLOOKUP($D17,'Apoio - Uniforme e EPIs'!$A:$D,4,FALSE)),"")</f>
        <v/>
      </c>
      <c r="H17" s="252" t="str">
        <f>IFERROR(IF(ISNUMBER(G17),G17*'Mão de Obra'!$D$12/12,1)*F17,"")</f>
        <v/>
      </c>
      <c r="J17" s="249"/>
      <c r="K17" s="249"/>
      <c r="L17" s="249"/>
      <c r="M17" s="249"/>
      <c r="N17" s="249"/>
      <c r="O17" s="249"/>
      <c r="P17" s="249"/>
      <c r="Q17" s="249"/>
      <c r="R17" s="249"/>
      <c r="S17" s="249"/>
      <c r="T17" s="249"/>
      <c r="U17" s="249"/>
      <c r="V17" s="249"/>
      <c r="W17" s="249"/>
      <c r="X17" s="249"/>
      <c r="Y17" s="249"/>
      <c r="Z17" s="249"/>
      <c r="AA17" s="249"/>
      <c r="AB17" s="249"/>
      <c r="AC17" s="249"/>
    </row>
    <row r="18" spans="2:29">
      <c r="B18" s="249">
        <v>13</v>
      </c>
      <c r="C18" s="250"/>
      <c r="D18" s="251"/>
      <c r="E18" s="249" t="str">
        <f>IFERROR(VLOOKUP($D18,'Apoio - Uniforme e EPIs'!$A:$C,2,FALSE),"")</f>
        <v/>
      </c>
      <c r="F18" s="716" t="str">
        <f>IFERROR(VLOOKUP($D18,'Apoio - Uniforme e EPIs'!$A:$D,3,FALSE),"")</f>
        <v/>
      </c>
      <c r="G18" s="719" t="str">
        <f>IFERROR(IF(VLOOKUP($D18,'Apoio - Uniforme e EPIs'!$A:$D,4,FALSE)=0,"",VLOOKUP($D18,'Apoio - Uniforme e EPIs'!$A:$D,4,FALSE)),"")</f>
        <v/>
      </c>
      <c r="H18" s="252" t="str">
        <f>IFERROR(IF(ISNUMBER(G18),G18*'Mão de Obra'!$D$12/12,1)*F18,"")</f>
        <v/>
      </c>
      <c r="J18" s="249"/>
      <c r="K18" s="249"/>
      <c r="L18" s="249"/>
      <c r="M18" s="249"/>
      <c r="N18" s="249"/>
      <c r="O18" s="249"/>
      <c r="P18" s="249"/>
      <c r="Q18" s="249"/>
      <c r="R18" s="249"/>
      <c r="S18" s="249"/>
      <c r="T18" s="249"/>
      <c r="U18" s="249"/>
      <c r="V18" s="249"/>
      <c r="W18" s="249"/>
      <c r="X18" s="249"/>
      <c r="Y18" s="249"/>
      <c r="Z18" s="249"/>
      <c r="AA18" s="249"/>
      <c r="AB18" s="249"/>
      <c r="AC18" s="249"/>
    </row>
    <row r="19" spans="2:29">
      <c r="B19" s="249">
        <v>14</v>
      </c>
      <c r="C19" s="250"/>
      <c r="D19" s="251"/>
      <c r="E19" s="249" t="str">
        <f>IFERROR(VLOOKUP($D19,'Apoio - Uniforme e EPIs'!$A:$C,2,FALSE),"")</f>
        <v/>
      </c>
      <c r="F19" s="716" t="str">
        <f>IFERROR(VLOOKUP($D19,'Apoio - Uniforme e EPIs'!$A:$D,3,FALSE),"")</f>
        <v/>
      </c>
      <c r="G19" s="719" t="str">
        <f>IFERROR(IF(VLOOKUP($D19,'Apoio - Uniforme e EPIs'!$A:$D,4,FALSE)=0,"",VLOOKUP($D19,'Apoio - Uniforme e EPIs'!$A:$D,4,FALSE)),"")</f>
        <v/>
      </c>
      <c r="H19" s="252" t="str">
        <f>IFERROR(IF(ISNUMBER(G19),G19*'Mão de Obra'!$D$12/12,1)*F19,"")</f>
        <v/>
      </c>
      <c r="J19" s="249"/>
      <c r="K19" s="249"/>
      <c r="L19" s="249"/>
      <c r="M19" s="249"/>
      <c r="N19" s="249"/>
      <c r="O19" s="249"/>
      <c r="P19" s="249"/>
      <c r="Q19" s="249"/>
      <c r="R19" s="249"/>
      <c r="S19" s="249"/>
      <c r="T19" s="249"/>
      <c r="U19" s="249"/>
      <c r="V19" s="249"/>
      <c r="W19" s="249"/>
      <c r="X19" s="249"/>
      <c r="Y19" s="249"/>
      <c r="Z19" s="249"/>
      <c r="AA19" s="249"/>
      <c r="AB19" s="249"/>
      <c r="AC19" s="249"/>
    </row>
    <row r="20" spans="2:29">
      <c r="B20" s="249">
        <v>15</v>
      </c>
      <c r="C20" s="250"/>
      <c r="D20" s="251"/>
      <c r="E20" s="249" t="str">
        <f>IFERROR(VLOOKUP($D20,'Apoio - Uniforme e EPIs'!$A:$C,2,FALSE),"")</f>
        <v/>
      </c>
      <c r="F20" s="716" t="str">
        <f>IFERROR(VLOOKUP($D20,'Apoio - Uniforme e EPIs'!$A:$D,3,FALSE),"")</f>
        <v/>
      </c>
      <c r="G20" s="719" t="str">
        <f>IFERROR(IF(VLOOKUP($D20,'Apoio - Uniforme e EPIs'!$A:$D,4,FALSE)=0,"",VLOOKUP($D20,'Apoio - Uniforme e EPIs'!$A:$D,4,FALSE)),"")</f>
        <v/>
      </c>
      <c r="H20" s="252" t="str">
        <f>IFERROR(IF(ISNUMBER(G20),G20*'Mão de Obra'!$D$12/12,1)*F20,"")</f>
        <v/>
      </c>
      <c r="J20" s="249"/>
      <c r="K20" s="249"/>
      <c r="L20" s="249"/>
      <c r="M20" s="249"/>
      <c r="N20" s="249"/>
      <c r="O20" s="249"/>
      <c r="P20" s="249"/>
      <c r="Q20" s="249"/>
      <c r="R20" s="249"/>
      <c r="S20" s="249"/>
      <c r="T20" s="249"/>
      <c r="U20" s="249"/>
      <c r="V20" s="249"/>
      <c r="W20" s="249"/>
      <c r="X20" s="249"/>
      <c r="Y20" s="249"/>
      <c r="Z20" s="249"/>
      <c r="AA20" s="249"/>
      <c r="AB20" s="249"/>
      <c r="AC20" s="249"/>
    </row>
    <row r="21" spans="2:29">
      <c r="B21" s="249">
        <v>16</v>
      </c>
      <c r="C21" s="250"/>
      <c r="D21" s="251"/>
      <c r="E21" s="249" t="str">
        <f>IFERROR(VLOOKUP($D21,'Apoio - Uniforme e EPIs'!$A:$C,2,FALSE),"")</f>
        <v/>
      </c>
      <c r="F21" s="716" t="str">
        <f>IFERROR(VLOOKUP($D21,'Apoio - Uniforme e EPIs'!$A:$D,3,FALSE),"")</f>
        <v/>
      </c>
      <c r="G21" s="719" t="str">
        <f>IFERROR(IF(VLOOKUP($D21,'Apoio - Uniforme e EPIs'!$A:$D,4,FALSE)=0,"",VLOOKUP($D21,'Apoio - Uniforme e EPIs'!$A:$D,4,FALSE)),"")</f>
        <v/>
      </c>
      <c r="H21" s="252" t="str">
        <f>IFERROR(IF(ISNUMBER(G21),G21*'Mão de Obra'!$D$12/12,1)*F21,"")</f>
        <v/>
      </c>
      <c r="J21" s="249"/>
      <c r="K21" s="249"/>
      <c r="L21" s="249"/>
      <c r="M21" s="249"/>
      <c r="N21" s="249"/>
      <c r="O21" s="249"/>
      <c r="P21" s="249"/>
      <c r="Q21" s="249"/>
      <c r="R21" s="249"/>
      <c r="S21" s="249"/>
      <c r="T21" s="249"/>
      <c r="U21" s="249"/>
      <c r="V21" s="249"/>
      <c r="W21" s="249"/>
      <c r="X21" s="249"/>
      <c r="Y21" s="249"/>
      <c r="Z21" s="249"/>
      <c r="AA21" s="249"/>
      <c r="AB21" s="249"/>
      <c r="AC21" s="249"/>
    </row>
    <row r="22" spans="2:29">
      <c r="B22" s="249">
        <v>17</v>
      </c>
      <c r="C22" s="250"/>
      <c r="D22" s="251"/>
      <c r="E22" s="249" t="str">
        <f>IFERROR(VLOOKUP($D22,'Apoio - Uniforme e EPIs'!$A:$C,2,FALSE),"")</f>
        <v/>
      </c>
      <c r="F22" s="716" t="str">
        <f>IFERROR(VLOOKUP($D22,'Apoio - Uniforme e EPIs'!$A:$D,3,FALSE),"")</f>
        <v/>
      </c>
      <c r="G22" s="719" t="str">
        <f>IFERROR(IF(VLOOKUP($D22,'Apoio - Uniforme e EPIs'!$A:$D,4,FALSE)=0,"",VLOOKUP($D22,'Apoio - Uniforme e EPIs'!$A:$D,4,FALSE)),"")</f>
        <v/>
      </c>
      <c r="H22" s="252" t="str">
        <f>IFERROR(IF(ISNUMBER(G22),G22*'Mão de Obra'!$D$12/12,1)*F22,"")</f>
        <v/>
      </c>
      <c r="J22" s="249"/>
      <c r="K22" s="249"/>
      <c r="L22" s="249"/>
      <c r="M22" s="249"/>
      <c r="N22" s="249"/>
      <c r="O22" s="249"/>
      <c r="P22" s="249"/>
      <c r="Q22" s="249"/>
      <c r="R22" s="249"/>
      <c r="S22" s="249"/>
      <c r="T22" s="249"/>
      <c r="U22" s="249"/>
      <c r="V22" s="249"/>
      <c r="W22" s="249"/>
      <c r="X22" s="249"/>
      <c r="Y22" s="249"/>
      <c r="Z22" s="249"/>
      <c r="AA22" s="249"/>
      <c r="AB22" s="249"/>
      <c r="AC22" s="249"/>
    </row>
    <row r="23" spans="2:29">
      <c r="B23" s="249">
        <v>18</v>
      </c>
      <c r="C23" s="250"/>
      <c r="D23" s="251"/>
      <c r="E23" s="249" t="str">
        <f>IFERROR(VLOOKUP($D23,'Apoio - Uniforme e EPIs'!$A:$C,2,FALSE),"")</f>
        <v/>
      </c>
      <c r="F23" s="716" t="str">
        <f>IFERROR(VLOOKUP($D23,'Apoio - Uniforme e EPIs'!$A:$D,3,FALSE),"")</f>
        <v/>
      </c>
      <c r="G23" s="719" t="str">
        <f>IFERROR(IF(VLOOKUP($D23,'Apoio - Uniforme e EPIs'!$A:$D,4,FALSE)=0,"",VLOOKUP($D23,'Apoio - Uniforme e EPIs'!$A:$D,4,FALSE)),"")</f>
        <v/>
      </c>
      <c r="H23" s="252" t="str">
        <f>IFERROR(IF(ISNUMBER(G23),G23*'Mão de Obra'!$D$12/12,1)*F23,"")</f>
        <v/>
      </c>
      <c r="J23" s="249"/>
      <c r="K23" s="249"/>
      <c r="L23" s="249"/>
      <c r="M23" s="249"/>
      <c r="N23" s="249"/>
      <c r="O23" s="249"/>
      <c r="P23" s="249"/>
      <c r="Q23" s="249"/>
      <c r="R23" s="249"/>
      <c r="S23" s="249"/>
      <c r="T23" s="249"/>
      <c r="U23" s="249"/>
      <c r="V23" s="249"/>
      <c r="W23" s="249"/>
      <c r="X23" s="249"/>
      <c r="Y23" s="249"/>
      <c r="Z23" s="249"/>
      <c r="AA23" s="249"/>
      <c r="AB23" s="249"/>
      <c r="AC23" s="249"/>
    </row>
    <row r="24" spans="2:29">
      <c r="B24" s="249">
        <v>19</v>
      </c>
      <c r="C24" s="250"/>
      <c r="D24" s="251"/>
      <c r="E24" s="249" t="str">
        <f>IFERROR(VLOOKUP($D24,'Apoio - Uniforme e EPIs'!$A:$C,2,FALSE),"")</f>
        <v/>
      </c>
      <c r="F24" s="716" t="str">
        <f>IFERROR(VLOOKUP($D24,'Apoio - Uniforme e EPIs'!$A:$D,3,FALSE),"")</f>
        <v/>
      </c>
      <c r="G24" s="719" t="str">
        <f>IFERROR(IF(VLOOKUP($D24,'Apoio - Uniforme e EPIs'!$A:$D,4,FALSE)=0,"",VLOOKUP($D24,'Apoio - Uniforme e EPIs'!$A:$D,4,FALSE)),"")</f>
        <v/>
      </c>
      <c r="H24" s="252" t="str">
        <f>IFERROR(IF(ISNUMBER(G24),G24*'Mão de Obra'!$D$12/12,1)*F24,"")</f>
        <v/>
      </c>
      <c r="J24" s="249"/>
      <c r="K24" s="249"/>
      <c r="L24" s="249"/>
      <c r="M24" s="249"/>
      <c r="N24" s="249"/>
      <c r="O24" s="249"/>
      <c r="P24" s="249"/>
      <c r="Q24" s="249"/>
      <c r="R24" s="249"/>
      <c r="S24" s="249"/>
      <c r="T24" s="249"/>
      <c r="U24" s="249"/>
      <c r="V24" s="249"/>
      <c r="W24" s="249"/>
      <c r="X24" s="249"/>
      <c r="Y24" s="249"/>
      <c r="Z24" s="249"/>
      <c r="AA24" s="249"/>
      <c r="AB24" s="249"/>
      <c r="AC24" s="249"/>
    </row>
    <row r="25" spans="2:29">
      <c r="B25" s="249">
        <v>20</v>
      </c>
      <c r="C25" s="250"/>
      <c r="D25" s="251"/>
      <c r="E25" s="249" t="str">
        <f>IFERROR(VLOOKUP($D25,'Apoio - Uniforme e EPIs'!$A:$C,2,FALSE),"")</f>
        <v/>
      </c>
      <c r="F25" s="716" t="str">
        <f>IFERROR(VLOOKUP($D25,'Apoio - Uniforme e EPIs'!$A:$D,3,FALSE),"")</f>
        <v/>
      </c>
      <c r="G25" s="719" t="str">
        <f>IFERROR(IF(VLOOKUP($D25,'Apoio - Uniforme e EPIs'!$A:$D,4,FALSE)=0,"",VLOOKUP($D25,'Apoio - Uniforme e EPIs'!$A:$D,4,FALSE)),"")</f>
        <v/>
      </c>
      <c r="H25" s="252" t="str">
        <f>IFERROR(IF(ISNUMBER(G25),G25*'Mão de Obra'!$D$12/12,1)*F25,"")</f>
        <v/>
      </c>
      <c r="J25" s="249"/>
      <c r="K25" s="249"/>
      <c r="L25" s="249"/>
      <c r="M25" s="249"/>
      <c r="N25" s="249"/>
      <c r="O25" s="249"/>
      <c r="P25" s="249"/>
      <c r="Q25" s="249"/>
      <c r="R25" s="249"/>
      <c r="S25" s="249"/>
      <c r="T25" s="249"/>
      <c r="U25" s="249"/>
      <c r="V25" s="249"/>
      <c r="W25" s="249"/>
      <c r="X25" s="249"/>
      <c r="Y25" s="249"/>
      <c r="Z25" s="249"/>
      <c r="AA25" s="249"/>
      <c r="AB25" s="249"/>
      <c r="AC25" s="249"/>
    </row>
    <row r="26" spans="2:29">
      <c r="B26" s="249">
        <v>21</v>
      </c>
      <c r="C26" s="250"/>
      <c r="D26" s="251"/>
      <c r="E26" s="249" t="str">
        <f>IFERROR(VLOOKUP($D26,'Apoio - Uniforme e EPIs'!$A:$C,2,FALSE),"")</f>
        <v/>
      </c>
      <c r="F26" s="716" t="str">
        <f>IFERROR(VLOOKUP($D26,'Apoio - Uniforme e EPIs'!$A:$D,3,FALSE),"")</f>
        <v/>
      </c>
      <c r="G26" s="719" t="str">
        <f>IFERROR(IF(VLOOKUP($D26,'Apoio - Uniforme e EPIs'!$A:$D,4,FALSE)=0,"",VLOOKUP($D26,'Apoio - Uniforme e EPIs'!$A:$D,4,FALSE)),"")</f>
        <v/>
      </c>
      <c r="H26" s="252" t="str">
        <f>IFERROR(IF(ISNUMBER(G26),G26*'Mão de Obra'!$D$12/12,1)*F26,"")</f>
        <v/>
      </c>
      <c r="J26" s="249"/>
      <c r="K26" s="249"/>
      <c r="L26" s="249"/>
      <c r="M26" s="249"/>
      <c r="N26" s="249"/>
    </row>
    <row r="27" spans="2:29">
      <c r="B27" s="249">
        <v>22</v>
      </c>
      <c r="C27" s="250"/>
      <c r="D27" s="251"/>
      <c r="E27" s="249" t="str">
        <f>IFERROR(VLOOKUP($D27,'Apoio - Uniforme e EPIs'!$A:$C,2,FALSE),"")</f>
        <v/>
      </c>
      <c r="F27" s="716" t="str">
        <f>IFERROR(VLOOKUP($D27,'Apoio - Uniforme e EPIs'!$A:$D,3,FALSE),"")</f>
        <v/>
      </c>
      <c r="G27" s="719" t="str">
        <f>IFERROR(IF(VLOOKUP($D27,'Apoio - Uniforme e EPIs'!$A:$D,4,FALSE)=0,"",VLOOKUP($D27,'Apoio - Uniforme e EPIs'!$A:$D,4,FALSE)),"")</f>
        <v/>
      </c>
      <c r="H27" s="252" t="str">
        <f>IFERROR(IF(ISNUMBER(G27),G27*'Mão de Obra'!$D$12/12,1)*F27,"")</f>
        <v/>
      </c>
      <c r="J27" s="249"/>
      <c r="K27" s="249"/>
      <c r="L27" s="249"/>
      <c r="M27" s="249"/>
      <c r="N27" s="249"/>
    </row>
    <row r="28" spans="2:29">
      <c r="B28" s="249">
        <v>23</v>
      </c>
      <c r="C28" s="250"/>
      <c r="D28" s="251"/>
      <c r="E28" s="249" t="str">
        <f>IFERROR(VLOOKUP($D28,'Apoio - Uniforme e EPIs'!$A:$C,2,FALSE),"")</f>
        <v/>
      </c>
      <c r="F28" s="716" t="str">
        <f>IFERROR(VLOOKUP($D28,'Apoio - Uniforme e EPIs'!$A:$D,3,FALSE),"")</f>
        <v/>
      </c>
      <c r="G28" s="719" t="str">
        <f>IFERROR(IF(VLOOKUP($D28,'Apoio - Uniforme e EPIs'!$A:$D,4,FALSE)=0,"",VLOOKUP($D28,'Apoio - Uniforme e EPIs'!$A:$D,4,FALSE)),"")</f>
        <v/>
      </c>
      <c r="H28" s="252" t="str">
        <f>IFERROR(IF(ISNUMBER(G28),G28*'Mão de Obra'!$D$12/12,1)*F28,"")</f>
        <v/>
      </c>
      <c r="J28" s="249"/>
      <c r="K28" s="249"/>
      <c r="L28" s="249"/>
      <c r="M28" s="249"/>
      <c r="N28" s="249"/>
    </row>
    <row r="29" spans="2:29">
      <c r="B29" s="249">
        <v>24</v>
      </c>
      <c r="C29" s="250"/>
      <c r="D29" s="251"/>
      <c r="E29" s="249" t="str">
        <f>IFERROR(VLOOKUP($D29,'Apoio - Uniforme e EPIs'!$A:$C,2,FALSE),"")</f>
        <v/>
      </c>
      <c r="F29" s="716" t="str">
        <f>IFERROR(VLOOKUP($D29,'Apoio - Uniforme e EPIs'!$A:$D,3,FALSE),"")</f>
        <v/>
      </c>
      <c r="G29" s="719" t="str">
        <f>IFERROR(IF(VLOOKUP($D29,'Apoio - Uniforme e EPIs'!$A:$D,4,FALSE)=0,"",VLOOKUP($D29,'Apoio - Uniforme e EPIs'!$A:$D,4,FALSE)),"")</f>
        <v/>
      </c>
      <c r="H29" s="252" t="str">
        <f>IFERROR(IF(ISNUMBER(G29),G29*'Mão de Obra'!$D$12/12,1)*F29,"")</f>
        <v/>
      </c>
      <c r="J29" s="249"/>
      <c r="K29" s="249"/>
      <c r="L29" s="249"/>
      <c r="M29" s="249"/>
      <c r="N29" s="249"/>
    </row>
    <row r="30" spans="2:29">
      <c r="B30" s="249">
        <v>25</v>
      </c>
      <c r="C30" s="250"/>
      <c r="D30" s="251"/>
      <c r="E30" s="249" t="str">
        <f>IFERROR(VLOOKUP($D30,'Apoio - Uniforme e EPIs'!$A:$C,2,FALSE),"")</f>
        <v/>
      </c>
      <c r="F30" s="716" t="str">
        <f>IFERROR(VLOOKUP($D30,'Apoio - Uniforme e EPIs'!$A:$D,3,FALSE),"")</f>
        <v/>
      </c>
      <c r="G30" s="719" t="str">
        <f>IFERROR(IF(VLOOKUP($D30,'Apoio - Uniforme e EPIs'!$A:$D,4,FALSE)=0,"",VLOOKUP($D30,'Apoio - Uniforme e EPIs'!$A:$D,4,FALSE)),"")</f>
        <v/>
      </c>
      <c r="H30" s="252" t="str">
        <f>IFERROR(IF(ISNUMBER(G30),G30*'Mão de Obra'!$D$12/12,1)*F30,"")</f>
        <v/>
      </c>
      <c r="J30" s="249"/>
      <c r="K30" s="249"/>
      <c r="L30" s="249"/>
      <c r="M30" s="249"/>
      <c r="N30" s="249"/>
    </row>
    <row r="31" spans="2:29">
      <c r="B31" s="249">
        <v>26</v>
      </c>
      <c r="C31" s="250"/>
      <c r="D31" s="251"/>
      <c r="E31" s="249" t="str">
        <f>IFERROR(VLOOKUP($D31,'Apoio - Uniforme e EPIs'!$A:$C,2,FALSE),"")</f>
        <v/>
      </c>
      <c r="F31" s="716" t="str">
        <f>IFERROR(VLOOKUP($D31,'Apoio - Uniforme e EPIs'!$A:$D,3,FALSE),"")</f>
        <v/>
      </c>
      <c r="G31" s="719" t="str">
        <f>IFERROR(IF(VLOOKUP($D31,'Apoio - Uniforme e EPIs'!$A:$D,4,FALSE)=0,"",VLOOKUP($D31,'Apoio - Uniforme e EPIs'!$A:$D,4,FALSE)),"")</f>
        <v/>
      </c>
      <c r="H31" s="252" t="str">
        <f>IFERROR(IF(ISNUMBER(G31),G31*'Mão de Obra'!$D$12/12,1)*F31,"")</f>
        <v/>
      </c>
      <c r="J31" s="249"/>
      <c r="K31" s="249"/>
      <c r="L31" s="249"/>
      <c r="M31" s="249"/>
      <c r="N31" s="249"/>
    </row>
  </sheetData>
  <sheetProtection algorithmName="SHA-512" hashValue="oHQIoKlLlxVVUoCK6OCoM8ncHFRi0XvS8NQtZbCsxCZuqVF01NGy7i9COccUgG0G0zFNElS3Br38Tw6XwN9aTw==" saltValue="R2Gbn/7BAfPhw3LahbnIAg==" spinCount="100000" sheet="1" formatCells="0" formatColumns="0" formatRows="0" insertColumns="0" autoFilter="0"/>
  <mergeCells count="3">
    <mergeCell ref="F4:H4"/>
    <mergeCell ref="B2:G2"/>
    <mergeCell ref="J2:AC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14:formula1>
            <xm:f>'Apoio - Uniforme e EPIs'!$A:$A</xm:f>
          </x14:formula1>
          <xm:sqref>D6:D31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
  <dimension ref="A1:G44"/>
  <sheetViews>
    <sheetView workbookViewId="0">
      <selection activeCell="A47" sqref="A47"/>
    </sheetView>
  </sheetViews>
  <sheetFormatPr defaultRowHeight="15"/>
  <cols>
    <col min="1" max="1" width="76.5703125" customWidth="1"/>
    <col min="2" max="2" width="11.140625" customWidth="1"/>
    <col min="3" max="3" width="16.7109375" customWidth="1"/>
    <col min="4" max="4" width="16.7109375" style="751" customWidth="1"/>
    <col min="7" max="7" width="75.85546875" customWidth="1"/>
  </cols>
  <sheetData>
    <row r="1" spans="1:7" ht="30" customHeight="1" thickBot="1">
      <c r="A1" s="734" t="s">
        <v>659</v>
      </c>
      <c r="B1" s="735" t="s">
        <v>492</v>
      </c>
      <c r="C1" s="736" t="s">
        <v>660</v>
      </c>
      <c r="D1" s="750" t="s">
        <v>485</v>
      </c>
    </row>
    <row r="2" spans="1:7" ht="15.75" thickBot="1">
      <c r="A2" s="728"/>
      <c r="B2" s="729"/>
      <c r="C2" s="720"/>
      <c r="D2" s="752"/>
      <c r="G2" s="746" t="s">
        <v>720</v>
      </c>
    </row>
    <row r="3" spans="1:7">
      <c r="A3" s="728" t="s">
        <v>661</v>
      </c>
      <c r="B3" s="729" t="s">
        <v>695</v>
      </c>
      <c r="C3" s="720">
        <v>11.59</v>
      </c>
      <c r="D3" s="752"/>
      <c r="G3" s="745" t="s">
        <v>719</v>
      </c>
    </row>
    <row r="4" spans="1:7">
      <c r="A4" s="728" t="s">
        <v>696</v>
      </c>
      <c r="B4" s="729" t="s">
        <v>695</v>
      </c>
      <c r="C4" s="720">
        <v>10.69</v>
      </c>
      <c r="D4" s="752"/>
    </row>
    <row r="5" spans="1:7">
      <c r="A5" s="728" t="s">
        <v>697</v>
      </c>
      <c r="B5" s="729" t="s">
        <v>695</v>
      </c>
      <c r="C5" s="720">
        <v>24.8</v>
      </c>
      <c r="D5" s="752"/>
    </row>
    <row r="6" spans="1:7">
      <c r="A6" s="728" t="s">
        <v>698</v>
      </c>
      <c r="B6" s="729" t="s">
        <v>695</v>
      </c>
      <c r="C6" s="720">
        <v>2.34</v>
      </c>
      <c r="D6" s="752"/>
    </row>
    <row r="7" spans="1:7">
      <c r="A7" s="728" t="s">
        <v>662</v>
      </c>
      <c r="B7" s="729" t="s">
        <v>695</v>
      </c>
      <c r="C7" s="720">
        <v>243.65</v>
      </c>
      <c r="D7" s="752"/>
    </row>
    <row r="8" spans="1:7">
      <c r="A8" s="728" t="s">
        <v>663</v>
      </c>
      <c r="B8" s="729" t="s">
        <v>695</v>
      </c>
      <c r="C8" s="720">
        <v>117.54</v>
      </c>
      <c r="D8" s="752"/>
    </row>
    <row r="9" spans="1:7">
      <c r="A9" s="728" t="s">
        <v>664</v>
      </c>
      <c r="B9" s="729" t="s">
        <v>695</v>
      </c>
      <c r="C9" s="720">
        <v>82.95</v>
      </c>
      <c r="D9" s="752"/>
    </row>
    <row r="10" spans="1:7">
      <c r="A10" s="728" t="s">
        <v>699</v>
      </c>
      <c r="B10" s="729" t="s">
        <v>700</v>
      </c>
      <c r="C10" s="720">
        <v>53.14</v>
      </c>
      <c r="D10" s="752"/>
    </row>
    <row r="11" spans="1:7">
      <c r="A11" s="728" t="s">
        <v>701</v>
      </c>
      <c r="B11" s="729" t="s">
        <v>700</v>
      </c>
      <c r="C11" s="720">
        <v>63.8</v>
      </c>
      <c r="D11" s="752"/>
    </row>
    <row r="12" spans="1:7">
      <c r="A12" s="728" t="s">
        <v>702</v>
      </c>
      <c r="B12" s="729" t="s">
        <v>700</v>
      </c>
      <c r="C12" s="720">
        <v>51.68</v>
      </c>
      <c r="D12" s="752"/>
    </row>
    <row r="13" spans="1:7">
      <c r="A13" s="728" t="s">
        <v>703</v>
      </c>
      <c r="B13" s="729" t="s">
        <v>695</v>
      </c>
      <c r="C13" s="720">
        <v>106.35</v>
      </c>
      <c r="D13" s="752"/>
    </row>
    <row r="14" spans="1:7">
      <c r="A14" s="728" t="s">
        <v>704</v>
      </c>
      <c r="B14" s="729" t="s">
        <v>695</v>
      </c>
      <c r="C14" s="720">
        <v>69.36</v>
      </c>
      <c r="D14" s="752"/>
    </row>
    <row r="15" spans="1:7">
      <c r="A15" s="728" t="s">
        <v>665</v>
      </c>
      <c r="B15" s="729" t="s">
        <v>695</v>
      </c>
      <c r="C15" s="720">
        <v>97.21</v>
      </c>
      <c r="D15" s="752"/>
    </row>
    <row r="16" spans="1:7">
      <c r="A16" s="728" t="s">
        <v>666</v>
      </c>
      <c r="B16" s="729" t="s">
        <v>695</v>
      </c>
      <c r="C16" s="720">
        <v>82.12</v>
      </c>
      <c r="D16" s="752"/>
    </row>
    <row r="17" spans="1:4">
      <c r="A17" s="728" t="s">
        <v>667</v>
      </c>
      <c r="B17" s="729" t="s">
        <v>695</v>
      </c>
      <c r="C17" s="720">
        <v>113.35</v>
      </c>
      <c r="D17" s="752"/>
    </row>
    <row r="18" spans="1:4">
      <c r="A18" s="728" t="s">
        <v>668</v>
      </c>
      <c r="B18" s="729" t="s">
        <v>695</v>
      </c>
      <c r="C18" s="720">
        <v>66.94</v>
      </c>
      <c r="D18" s="752"/>
    </row>
    <row r="19" spans="1:4">
      <c r="A19" s="728" t="s">
        <v>669</v>
      </c>
      <c r="B19" s="729" t="s">
        <v>695</v>
      </c>
      <c r="C19" s="720">
        <v>76.41</v>
      </c>
      <c r="D19" s="752"/>
    </row>
    <row r="20" spans="1:4">
      <c r="A20" s="728" t="s">
        <v>670</v>
      </c>
      <c r="B20" s="729" t="s">
        <v>695</v>
      </c>
      <c r="C20" s="720">
        <v>35.21</v>
      </c>
      <c r="D20" s="752"/>
    </row>
    <row r="21" spans="1:4">
      <c r="A21" s="728" t="s">
        <v>671</v>
      </c>
      <c r="B21" s="729" t="s">
        <v>695</v>
      </c>
      <c r="C21" s="720">
        <v>531.99</v>
      </c>
      <c r="D21" s="752"/>
    </row>
    <row r="22" spans="1:4">
      <c r="A22" s="728" t="s">
        <v>732</v>
      </c>
      <c r="B22" s="729" t="s">
        <v>695</v>
      </c>
      <c r="C22" s="720">
        <v>3.57</v>
      </c>
      <c r="D22" s="752"/>
    </row>
    <row r="23" spans="1:4">
      <c r="A23" s="728" t="s">
        <v>693</v>
      </c>
      <c r="B23" s="729" t="s">
        <v>695</v>
      </c>
      <c r="C23" s="720">
        <v>50.86</v>
      </c>
      <c r="D23" s="752"/>
    </row>
    <row r="24" spans="1:4">
      <c r="A24" s="728" t="s">
        <v>705</v>
      </c>
      <c r="B24" s="729" t="s">
        <v>695</v>
      </c>
      <c r="C24" s="720">
        <v>52.98</v>
      </c>
      <c r="D24" s="752"/>
    </row>
    <row r="25" spans="1:4">
      <c r="A25" s="728" t="s">
        <v>688</v>
      </c>
      <c r="B25" s="729" t="s">
        <v>714</v>
      </c>
      <c r="C25" s="720">
        <v>5.7</v>
      </c>
      <c r="D25" s="752"/>
    </row>
    <row r="26" spans="1:4">
      <c r="A26" s="728" t="s">
        <v>672</v>
      </c>
      <c r="B26" s="729" t="s">
        <v>695</v>
      </c>
      <c r="C26" s="720">
        <v>1439.06</v>
      </c>
      <c r="D26" s="752">
        <v>0.2</v>
      </c>
    </row>
    <row r="27" spans="1:4">
      <c r="A27" s="728" t="s">
        <v>673</v>
      </c>
      <c r="B27" s="729" t="s">
        <v>695</v>
      </c>
      <c r="C27" s="720">
        <v>24.36</v>
      </c>
      <c r="D27" s="752"/>
    </row>
    <row r="28" spans="1:4">
      <c r="A28" s="728" t="s">
        <v>706</v>
      </c>
      <c r="B28" s="729" t="s">
        <v>695</v>
      </c>
      <c r="C28" s="720">
        <v>65.58</v>
      </c>
      <c r="D28" s="752"/>
    </row>
    <row r="29" spans="1:4">
      <c r="A29" s="728" t="s">
        <v>707</v>
      </c>
      <c r="B29" s="729" t="s">
        <v>695</v>
      </c>
      <c r="C29" s="720">
        <v>71.92</v>
      </c>
      <c r="D29" s="752"/>
    </row>
    <row r="30" spans="1:4">
      <c r="A30" s="728" t="s">
        <v>708</v>
      </c>
      <c r="B30" s="729" t="s">
        <v>695</v>
      </c>
      <c r="C30" s="720">
        <v>149.16</v>
      </c>
      <c r="D30" s="752"/>
    </row>
    <row r="31" spans="1:4">
      <c r="A31" s="728" t="s">
        <v>674</v>
      </c>
      <c r="B31" s="729" t="s">
        <v>695</v>
      </c>
      <c r="C31" s="720">
        <v>163.58000000000001</v>
      </c>
      <c r="D31" s="752"/>
    </row>
    <row r="32" spans="1:4">
      <c r="A32" s="728" t="s">
        <v>675</v>
      </c>
      <c r="B32" s="729" t="s">
        <v>700</v>
      </c>
      <c r="C32" s="720">
        <v>11.05</v>
      </c>
      <c r="D32" s="752"/>
    </row>
    <row r="33" spans="1:4">
      <c r="A33" s="728" t="s">
        <v>709</v>
      </c>
      <c r="B33" s="729" t="s">
        <v>700</v>
      </c>
      <c r="C33" s="720">
        <v>11.52</v>
      </c>
      <c r="D33" s="752"/>
    </row>
    <row r="34" spans="1:4">
      <c r="A34" s="728" t="s">
        <v>676</v>
      </c>
      <c r="B34" s="729" t="s">
        <v>700</v>
      </c>
      <c r="C34" s="720">
        <v>0.24060000000000001</v>
      </c>
      <c r="D34" s="752"/>
    </row>
    <row r="35" spans="1:4">
      <c r="A35" s="728" t="s">
        <v>677</v>
      </c>
      <c r="B35" s="729" t="s">
        <v>700</v>
      </c>
      <c r="C35" s="720">
        <v>57.71</v>
      </c>
      <c r="D35" s="752"/>
    </row>
    <row r="36" spans="1:4">
      <c r="A36" s="728" t="s">
        <v>678</v>
      </c>
      <c r="B36" s="729" t="s">
        <v>700</v>
      </c>
      <c r="C36" s="720">
        <v>15.33</v>
      </c>
      <c r="D36" s="752"/>
    </row>
    <row r="37" spans="1:4">
      <c r="A37" s="728" t="s">
        <v>679</v>
      </c>
      <c r="B37" s="729" t="s">
        <v>695</v>
      </c>
      <c r="C37" s="720">
        <v>0.1356</v>
      </c>
      <c r="D37" s="752"/>
    </row>
    <row r="38" spans="1:4">
      <c r="A38" s="728" t="s">
        <v>680</v>
      </c>
      <c r="B38" s="729" t="s">
        <v>700</v>
      </c>
      <c r="C38" s="720">
        <v>1.42</v>
      </c>
      <c r="D38" s="752"/>
    </row>
    <row r="39" spans="1:4">
      <c r="A39" s="728" t="s">
        <v>710</v>
      </c>
      <c r="B39" s="729" t="s">
        <v>700</v>
      </c>
      <c r="C39" s="720">
        <v>10.79</v>
      </c>
      <c r="D39" s="752"/>
    </row>
    <row r="40" spans="1:4">
      <c r="A40" s="728" t="s">
        <v>681</v>
      </c>
      <c r="B40" s="729" t="s">
        <v>695</v>
      </c>
      <c r="C40" s="720">
        <v>8.11</v>
      </c>
      <c r="D40" s="752"/>
    </row>
    <row r="41" spans="1:4">
      <c r="A41" s="728" t="s">
        <v>682</v>
      </c>
      <c r="B41" s="729" t="s">
        <v>711</v>
      </c>
      <c r="C41" s="720">
        <v>20.97</v>
      </c>
      <c r="D41" s="752"/>
    </row>
    <row r="42" spans="1:4">
      <c r="A42" s="728" t="s">
        <v>712</v>
      </c>
      <c r="B42" s="729" t="s">
        <v>700</v>
      </c>
      <c r="C42" s="720">
        <v>75.72</v>
      </c>
      <c r="D42" s="752"/>
    </row>
    <row r="43" spans="1:4">
      <c r="A43" s="728" t="s">
        <v>683</v>
      </c>
      <c r="B43" s="729" t="s">
        <v>695</v>
      </c>
      <c r="C43" s="720">
        <v>6.3200000000000006E-2</v>
      </c>
      <c r="D43" s="752"/>
    </row>
    <row r="44" spans="1:4">
      <c r="A44" s="728" t="s">
        <v>713</v>
      </c>
      <c r="B44" s="729" t="s">
        <v>695</v>
      </c>
      <c r="C44" s="720">
        <v>12.58</v>
      </c>
      <c r="D44" s="752"/>
    </row>
  </sheetData>
  <sheetProtection algorithmName="SHA-512" hashValue="dchHF3LD/qPk9xP9CPpE/K1e2orsL79PkEGh/faeMBAGhfA9Aa8XjD8LqbYiyfGa27sc/n4A3pOue8kjpbbeNQ==" saltValue="iLFJZloXZwBKpzA6pO95QA==" spinCount="100000" sheet="1" objects="1" scenarios="1"/>
  <pageMargins left="0.511811024" right="0.511811024" top="0.78740157499999996" bottom="0.78740157499999996" header="0.31496062000000002" footer="0.31496062000000002"/>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7"/>
  <dimension ref="B1:J221"/>
  <sheetViews>
    <sheetView showGridLines="0" tabSelected="1" zoomScale="90" zoomScaleNormal="90" workbookViewId="0">
      <selection activeCell="N12" sqref="N12"/>
    </sheetView>
  </sheetViews>
  <sheetFormatPr defaultRowHeight="15"/>
  <cols>
    <col min="1" max="1" width="1.85546875" customWidth="1"/>
    <col min="2" max="2" width="7.7109375" customWidth="1"/>
    <col min="3" max="3" width="10.42578125" style="12" customWidth="1"/>
    <col min="4" max="4" width="49.5703125" customWidth="1"/>
    <col min="5" max="6" width="14.28515625" customWidth="1"/>
    <col min="7" max="7" width="14.28515625" style="41" customWidth="1"/>
    <col min="8" max="8" width="14.85546875" style="42" customWidth="1"/>
    <col min="9" max="9" width="15.42578125" style="41" hidden="1" customWidth="1"/>
    <col min="10" max="10" width="13.28515625" style="41" customWidth="1"/>
    <col min="11" max="13" width="16" customWidth="1"/>
  </cols>
  <sheetData>
    <row r="1" spans="2:10" ht="9" customHeight="1">
      <c r="H1"/>
    </row>
    <row r="2" spans="2:10">
      <c r="B2" s="830" t="s">
        <v>484</v>
      </c>
      <c r="C2" s="831"/>
      <c r="D2" s="831"/>
      <c r="E2" s="831"/>
      <c r="F2" s="831"/>
      <c r="G2" s="831"/>
      <c r="H2" s="831"/>
      <c r="I2" s="831"/>
      <c r="J2" s="832"/>
    </row>
    <row r="3" spans="2:10" ht="45">
      <c r="B3" s="253" t="s">
        <v>184</v>
      </c>
      <c r="C3" s="253" t="s">
        <v>40</v>
      </c>
      <c r="D3" s="253" t="s">
        <v>493</v>
      </c>
      <c r="E3" s="405" t="s">
        <v>492</v>
      </c>
      <c r="F3" s="253" t="s">
        <v>310</v>
      </c>
      <c r="G3" s="405" t="s">
        <v>41</v>
      </c>
      <c r="H3" s="641" t="s">
        <v>485</v>
      </c>
      <c r="I3" s="254" t="s">
        <v>494</v>
      </c>
      <c r="J3" s="254" t="s">
        <v>734</v>
      </c>
    </row>
    <row r="4" spans="2:10">
      <c r="C4"/>
      <c r="G4"/>
      <c r="I4" s="298">
        <f>SUM(I5:I251)</f>
        <v>85.6</v>
      </c>
      <c r="J4" s="298">
        <f>SUM(J5:J251)</f>
        <v>102.78999999999999</v>
      </c>
    </row>
    <row r="5" spans="2:10" ht="3.75" customHeight="1">
      <c r="C5"/>
      <c r="G5"/>
      <c r="I5" s="773"/>
      <c r="J5" s="773"/>
    </row>
    <row r="6" spans="2:10">
      <c r="B6" s="250">
        <v>1</v>
      </c>
      <c r="C6" s="250"/>
      <c r="D6" s="386" t="s">
        <v>692</v>
      </c>
      <c r="E6" s="250" t="str">
        <f>IFERROR(VLOOKUP($D6,'Apoio - Mat Coletivo e Equip'!$A:$D,2,FALSE),"")</f>
        <v>Peça</v>
      </c>
      <c r="F6" s="250">
        <v>1</v>
      </c>
      <c r="G6" s="743">
        <v>976.94</v>
      </c>
      <c r="H6" s="742">
        <f>IFERROR(IF(VLOOKUP($D6,'Apoio - Mat Coletivo e Equip'!$A:$D,4,FALSE)=0,"",VLOOKUP($D6,'Apoio - Mat Coletivo e Equip'!$A:$D,4,FALSE)),"")</f>
        <v>0.2</v>
      </c>
      <c r="I6" s="774">
        <f>IFERROR(ROUND((IF(ISNUMBER(H6),H6*'Mão de Obra'!$D$12/12,1)*G6*F6)/'Mão de Obra'!$D$12,2),"")</f>
        <v>16.28</v>
      </c>
      <c r="J6" s="774">
        <f>IFERROR(ROUND(I6*(1+
SUM(
IFERROR(SUMPRODUCT('Mão de Obra'!$E$169:$II$169,'Mão de Obra'!$E$29:$II$29),0),
IFERROR(SUMPRODUCT(Produtividade!$E$171:$II$171,Produtividade!$E$29:$II$29),0),
IFERROR(SUMPRODUCT(Veículos!$E$81:$II$81,Veículos!$E$4:$II$4),0)
)
/
Proposta!$J$62),2),"")</f>
        <v>19.55</v>
      </c>
    </row>
    <row r="7" spans="2:10">
      <c r="B7" s="250">
        <v>2</v>
      </c>
      <c r="C7" s="250"/>
      <c r="D7" s="386" t="s">
        <v>691</v>
      </c>
      <c r="E7" s="250" t="str">
        <f>IFERROR(VLOOKUP($D7,'Apoio - Mat Coletivo e Equip'!$A:$D,2,FALSE),"")</f>
        <v>mês</v>
      </c>
      <c r="F7" s="449">
        <v>12</v>
      </c>
      <c r="G7" s="743">
        <v>67.63</v>
      </c>
      <c r="H7" s="742" t="str">
        <f>IFERROR(IF(VLOOKUP($D7,'Apoio - Mat Coletivo e Equip'!$A:$D,4,FALSE)=0,"",VLOOKUP($D7,'Apoio - Mat Coletivo e Equip'!$A:$D,4,FALSE)),"")</f>
        <v/>
      </c>
      <c r="I7" s="774">
        <f>IFERROR(ROUND((IF(ISNUMBER(H7),H7*'Mão de Obra'!$D$12/12,1)*G7*F7)/'Mão de Obra'!$D$12,2),"")</f>
        <v>67.63</v>
      </c>
      <c r="J7" s="774">
        <f>IFERROR(ROUND(I7*(1+
SUM(
IFERROR(SUMPRODUCT('Mão de Obra'!$E$169:$II$169,'Mão de Obra'!$E$29:$II$29),0),
IFERROR(SUMPRODUCT(Produtividade!$E$171:$II$171,Produtividade!$E$29:$II$29),0),
IFERROR(SUMPRODUCT(Veículos!$E$81:$II$81,Veículos!$E$4:$II$4),0)
)
/
Proposta!$J$62),2),"")</f>
        <v>81.209999999999994</v>
      </c>
    </row>
    <row r="8" spans="2:10">
      <c r="B8" s="250">
        <v>3</v>
      </c>
      <c r="C8" s="250"/>
      <c r="D8" s="386" t="s">
        <v>715</v>
      </c>
      <c r="E8" s="250" t="str">
        <f>IFERROR(VLOOKUP($D8,'Apoio - Mat Coletivo e Equip'!$A:$D,2,FALSE),"")</f>
        <v>Peça</v>
      </c>
      <c r="F8" s="449">
        <v>1</v>
      </c>
      <c r="G8" s="743">
        <v>20.239999999999998</v>
      </c>
      <c r="H8" s="742" t="str">
        <f>IFERROR(IF(VLOOKUP($D8,'Apoio - Mat Coletivo e Equip'!$A:$D,4,FALSE)=0,"",VLOOKUP($D8,'Apoio - Mat Coletivo e Equip'!$A:$D,4,FALSE)),"")</f>
        <v/>
      </c>
      <c r="I8" s="774">
        <f>IFERROR(ROUND((IF(ISNUMBER(H8),H8*'Mão de Obra'!$D$12/12,1)*G8*F8)/'Mão de Obra'!$D$12,2),"")</f>
        <v>1.69</v>
      </c>
      <c r="J8" s="774">
        <f>IFERROR(ROUND(I8*(1+
SUM(
IFERROR(SUMPRODUCT('Mão de Obra'!$E$169:$II$169,'Mão de Obra'!$E$29:$II$29),0),
IFERROR(SUMPRODUCT(Produtividade!$E$171:$II$171,Produtividade!$E$29:$II$29),0),
IFERROR(SUMPRODUCT(Veículos!$E$81:$II$81,Veículos!$E$4:$II$4),0)
)
/
Proposta!$J$62),2),"")</f>
        <v>2.0299999999999998</v>
      </c>
    </row>
    <row r="9" spans="2:10">
      <c r="B9" s="250">
        <v>4</v>
      </c>
      <c r="C9" s="250"/>
      <c r="D9" s="386"/>
      <c r="E9" s="250"/>
      <c r="F9" s="449"/>
      <c r="G9" s="743"/>
      <c r="H9" s="742"/>
      <c r="I9" s="774">
        <f>IFERROR(ROUND((IF(ISNUMBER(H9),H9*'Mão de Obra'!$D$12/12,1)*G9*F9)/'Mão de Obra'!$D$12,2),"")</f>
        <v>0</v>
      </c>
      <c r="J9" s="774">
        <f>IFERROR(ROUND(I9*(1+
SUM(
IFERROR(SUMPRODUCT('Mão de Obra'!$E$169:$II$169,'Mão de Obra'!$E$29:$II$29),0),
IFERROR(SUMPRODUCT(Produtividade!$E$171:$II$171,Produtividade!$E$29:$II$29),0),
IFERROR(SUMPRODUCT(Veículos!$E$81:$II$81,Veículos!$E$4:$II$4),0)
)
/
Proposta!$J$62),2),"")</f>
        <v>0</v>
      </c>
    </row>
    <row r="10" spans="2:10">
      <c r="B10" s="250">
        <v>5</v>
      </c>
      <c r="C10" s="250"/>
      <c r="D10" s="386"/>
      <c r="E10" s="250"/>
      <c r="F10" s="449"/>
      <c r="G10" s="743"/>
      <c r="H10" s="742"/>
      <c r="I10" s="774">
        <f>IFERROR(ROUND((IF(ISNUMBER(H10),H10*'Mão de Obra'!$D$12/12,1)*G10*F10)/'Mão de Obra'!$D$12,2),"")</f>
        <v>0</v>
      </c>
      <c r="J10" s="774">
        <f>IFERROR(ROUND(I10*(1+
SUM(
IFERROR(SUMPRODUCT('Mão de Obra'!$E$169:$II$169,'Mão de Obra'!$E$29:$II$29),0),
IFERROR(SUMPRODUCT(Produtividade!$E$171:$II$171,Produtividade!$E$29:$II$29),0),
IFERROR(SUMPRODUCT(Veículos!$E$81:$II$81,Veículos!$E$4:$II$4),0)
)
/
Proposta!$J$62),2),"")</f>
        <v>0</v>
      </c>
    </row>
    <row r="11" spans="2:10">
      <c r="B11" s="250">
        <v>6</v>
      </c>
      <c r="C11" s="250"/>
      <c r="D11" s="386"/>
      <c r="E11" s="250"/>
      <c r="F11" s="449"/>
      <c r="G11" s="743"/>
      <c r="H11" s="742"/>
      <c r="I11" s="774">
        <f>IFERROR(ROUND((IF(ISNUMBER(H11),H11*'Mão de Obra'!$D$12/12,1)*G11*F11)/'Mão de Obra'!$D$12,2),"")</f>
        <v>0</v>
      </c>
      <c r="J11" s="774">
        <f>IFERROR(ROUND(I11*(1+
SUM(
IFERROR(SUMPRODUCT('Mão de Obra'!$E$169:$II$169,'Mão de Obra'!$E$29:$II$29),0),
IFERROR(SUMPRODUCT(Produtividade!$E$171:$II$171,Produtividade!$E$29:$II$29),0),
IFERROR(SUMPRODUCT(Veículos!$E$81:$II$81,Veículos!$E$4:$II$4),0)
)
/
Proposta!$J$62),2),"")</f>
        <v>0</v>
      </c>
    </row>
    <row r="12" spans="2:10">
      <c r="B12" s="250">
        <v>7</v>
      </c>
      <c r="C12" s="250"/>
      <c r="D12" s="386"/>
      <c r="E12" s="250" t="str">
        <f>IFERROR(VLOOKUP($D12,'Apoio - Mat Coletivo e Equip'!$A:$D,2,FALSE),"")</f>
        <v/>
      </c>
      <c r="F12" s="449"/>
      <c r="G12" s="743" t="str">
        <f>IFERROR(VLOOKUP($D12,'Apoio - Mat Coletivo e Equip'!$A:$D,3,FALSE),"")</f>
        <v/>
      </c>
      <c r="H12" s="742" t="str">
        <f>IFERROR(IF(VLOOKUP($D12,'Apoio - Mat Coletivo e Equip'!$A:$D,4,FALSE)=0,"",VLOOKUP($D12,'Apoio - Mat Coletivo e Equip'!$A:$D,4,FALSE)),"")</f>
        <v/>
      </c>
      <c r="I12" s="774" t="str">
        <f>IFERROR(ROUND((IF(ISNUMBER(H12),H12*'Mão de Obra'!$D$12/12,1)*G12*F12)/'Mão de Obra'!$D$12,2),"")</f>
        <v/>
      </c>
      <c r="J12" s="774" t="str">
        <f>IFERROR(ROUND(I12*(1+
SUM(
IFERROR(SUMPRODUCT('Mão de Obra'!$E$169:$II$169,'Mão de Obra'!$E$29:$II$29),0),
IFERROR(SUMPRODUCT(Produtividade!$E$171:$II$171,Produtividade!$E$29:$II$29),0),
IFERROR(SUMPRODUCT(Veículos!$E$81:$II$81,Veículos!$E$4:$II$4),0)
)
/
Proposta!$J$62),2),"")</f>
        <v/>
      </c>
    </row>
    <row r="13" spans="2:10">
      <c r="B13" s="250">
        <v>8</v>
      </c>
      <c r="C13" s="250"/>
      <c r="D13" s="386"/>
      <c r="E13" s="250" t="str">
        <f>IFERROR(VLOOKUP($D13,'Apoio - Mat Coletivo e Equip'!$A:$D,2,FALSE),"")</f>
        <v/>
      </c>
      <c r="F13" s="449"/>
      <c r="G13" s="743" t="str">
        <f>IFERROR(VLOOKUP($D13,'Apoio - Mat Coletivo e Equip'!$A:$D,3,FALSE),"")</f>
        <v/>
      </c>
      <c r="H13" s="742" t="str">
        <f>IFERROR(IF(VLOOKUP($D13,'Apoio - Mat Coletivo e Equip'!$A:$D,4,FALSE)=0,"",VLOOKUP($D13,'Apoio - Mat Coletivo e Equip'!$A:$D,4,FALSE)),"")</f>
        <v/>
      </c>
      <c r="I13" s="774" t="str">
        <f>IFERROR(ROUND((IF(ISNUMBER(H13),H13*'Mão de Obra'!$D$12/12,1)*G13*F13)/'Mão de Obra'!$D$12,2),"")</f>
        <v/>
      </c>
      <c r="J13" s="774" t="str">
        <f>IFERROR(ROUND(I13*(1+
SUM(
IFERROR(SUMPRODUCT('Mão de Obra'!$E$169:$II$169,'Mão de Obra'!$E$29:$II$29),0),
IFERROR(SUMPRODUCT(Produtividade!$E$171:$II$171,Produtividade!$E$29:$II$29),0),
IFERROR(SUMPRODUCT(Veículos!$E$81:$II$81,Veículos!$E$4:$II$4),0)
)
/
Proposta!$J$62),2),"")</f>
        <v/>
      </c>
    </row>
    <row r="14" spans="2:10">
      <c r="B14" s="250">
        <v>9</v>
      </c>
      <c r="C14" s="250"/>
      <c r="D14" s="386"/>
      <c r="E14" s="250" t="str">
        <f>IFERROR(VLOOKUP($D14,'Apoio - Mat Coletivo e Equip'!$A:$D,2,FALSE),"")</f>
        <v/>
      </c>
      <c r="F14" s="449"/>
      <c r="G14" s="743" t="str">
        <f>IFERROR(VLOOKUP($D14,'Apoio - Mat Coletivo e Equip'!$A:$D,3,FALSE),"")</f>
        <v/>
      </c>
      <c r="H14" s="742" t="str">
        <f>IFERROR(IF(VLOOKUP($D14,'Apoio - Mat Coletivo e Equip'!$A:$D,4,FALSE)=0,"",VLOOKUP($D14,'Apoio - Mat Coletivo e Equip'!$A:$D,4,FALSE)),"")</f>
        <v/>
      </c>
      <c r="I14" s="774" t="str">
        <f>IFERROR(ROUND((IF(ISNUMBER(H14),H14*'Mão de Obra'!$D$12/12,1)*G14*F14)/'Mão de Obra'!$D$12,2),"")</f>
        <v/>
      </c>
      <c r="J14" s="774" t="str">
        <f>IFERROR(ROUND(I14*(1+
SUM(
IFERROR(SUMPRODUCT('Mão de Obra'!$E$169:$II$169,'Mão de Obra'!$E$29:$II$29),0),
IFERROR(SUMPRODUCT(Produtividade!$E$171:$II$171,Produtividade!$E$29:$II$29),0),
IFERROR(SUMPRODUCT(Veículos!$E$81:$II$81,Veículos!$E$4:$II$4),0)
)
/
Proposta!$J$62),2),"")</f>
        <v/>
      </c>
    </row>
    <row r="15" spans="2:10">
      <c r="B15" s="250">
        <v>10</v>
      </c>
      <c r="C15" s="250"/>
      <c r="D15" s="386"/>
      <c r="E15" s="250" t="str">
        <f>IFERROR(VLOOKUP($D15,'Apoio - Mat Coletivo e Equip'!$A:$D,2,FALSE),"")</f>
        <v/>
      </c>
      <c r="F15" s="449"/>
      <c r="G15" s="743" t="str">
        <f>IFERROR(VLOOKUP($D15,'Apoio - Mat Coletivo e Equip'!$A:$D,3,FALSE),"")</f>
        <v/>
      </c>
      <c r="H15" s="742" t="str">
        <f>IFERROR(IF(VLOOKUP($D15,'Apoio - Mat Coletivo e Equip'!$A:$D,4,FALSE)=0,"",VLOOKUP($D15,'Apoio - Mat Coletivo e Equip'!$A:$D,4,FALSE)),"")</f>
        <v/>
      </c>
      <c r="I15" s="774" t="str">
        <f>IFERROR(ROUND((IF(ISNUMBER(H15),H15*'Mão de Obra'!$D$12/12,1)*G15*F15)/'Mão de Obra'!$D$12,2),"")</f>
        <v/>
      </c>
      <c r="J15" s="774" t="str">
        <f>IFERROR(ROUND(I15*(1+
SUM(
IFERROR(SUMPRODUCT('Mão de Obra'!$E$169:$II$169,'Mão de Obra'!$E$29:$II$29),0),
IFERROR(SUMPRODUCT(Produtividade!$E$171:$II$171,Produtividade!$E$29:$II$29),0),
IFERROR(SUMPRODUCT(Veículos!$E$81:$II$81,Veículos!$E$4:$II$4),0)
)
/
Proposta!$J$62),2),"")</f>
        <v/>
      </c>
    </row>
    <row r="16" spans="2:10">
      <c r="B16" s="250">
        <v>11</v>
      </c>
      <c r="C16" s="250"/>
      <c r="D16" s="386"/>
      <c r="E16" s="250" t="str">
        <f>IFERROR(VLOOKUP($D16,'Apoio - Mat Coletivo e Equip'!$A:$D,2,FALSE),"")</f>
        <v/>
      </c>
      <c r="F16" s="449"/>
      <c r="G16" s="743" t="str">
        <f>IFERROR(VLOOKUP($D16,'Apoio - Mat Coletivo e Equip'!$A:$D,3,FALSE),"")</f>
        <v/>
      </c>
      <c r="H16" s="742" t="str">
        <f>IFERROR(IF(VLOOKUP($D16,'Apoio - Mat Coletivo e Equip'!$A:$D,4,FALSE)=0,"",VLOOKUP($D16,'Apoio - Mat Coletivo e Equip'!$A:$D,4,FALSE)),"")</f>
        <v/>
      </c>
      <c r="I16" s="774" t="str">
        <f>IFERROR(ROUND((IF(ISNUMBER(H16),H16*'Mão de Obra'!$D$12/12,1)*G16*F16)/'Mão de Obra'!$D$12,2),"")</f>
        <v/>
      </c>
      <c r="J16" s="774" t="str">
        <f>IFERROR(ROUND(I16*(1+
SUM(
IFERROR(SUMPRODUCT('Mão de Obra'!$E$169:$II$169,'Mão de Obra'!$E$29:$II$29),0),
IFERROR(SUMPRODUCT(Produtividade!$E$171:$II$171,Produtividade!$E$29:$II$29),0),
IFERROR(SUMPRODUCT(Veículos!$E$81:$II$81,Veículos!$E$4:$II$4),0)
)
/
Proposta!$J$62),2),"")</f>
        <v/>
      </c>
    </row>
    <row r="17" spans="2:10">
      <c r="B17" s="250">
        <v>12</v>
      </c>
      <c r="C17" s="250"/>
      <c r="D17" s="386"/>
      <c r="E17" s="250" t="str">
        <f>IFERROR(VLOOKUP($D17,'Apoio - Mat Coletivo e Equip'!$A:$D,2,FALSE),"")</f>
        <v/>
      </c>
      <c r="F17" s="449"/>
      <c r="G17" s="743" t="str">
        <f>IFERROR(VLOOKUP($D17,'Apoio - Mat Coletivo e Equip'!$A:$D,3,FALSE),"")</f>
        <v/>
      </c>
      <c r="H17" s="742" t="str">
        <f>IFERROR(IF(VLOOKUP($D17,'Apoio - Mat Coletivo e Equip'!$A:$D,4,FALSE)=0,"",VLOOKUP($D17,'Apoio - Mat Coletivo e Equip'!$A:$D,4,FALSE)),"")</f>
        <v/>
      </c>
      <c r="I17" s="774" t="str">
        <f>IFERROR(ROUND((IF(ISNUMBER(H17),H17*'Mão de Obra'!$D$12/12,1)*G17*F17)/'Mão de Obra'!$D$12,2),"")</f>
        <v/>
      </c>
      <c r="J17" s="774" t="str">
        <f>IFERROR(ROUND(I17*(1+
SUM(
IFERROR(SUMPRODUCT('Mão de Obra'!$E$169:$II$169,'Mão de Obra'!$E$29:$II$29),0),
IFERROR(SUMPRODUCT(Produtividade!$E$171:$II$171,Produtividade!$E$29:$II$29),0),
IFERROR(SUMPRODUCT(Veículos!$E$81:$II$81,Veículos!$E$4:$II$4),0)
)
/
Proposta!$J$62),2),"")</f>
        <v/>
      </c>
    </row>
    <row r="18" spans="2:10">
      <c r="B18" s="250">
        <v>13</v>
      </c>
      <c r="C18" s="250"/>
      <c r="D18" s="386"/>
      <c r="E18" s="250" t="str">
        <f>IFERROR(VLOOKUP($D18,'Apoio - Mat Coletivo e Equip'!$A:$D,2,FALSE),"")</f>
        <v/>
      </c>
      <c r="F18" s="449"/>
      <c r="G18" s="743" t="str">
        <f>IFERROR(VLOOKUP($D18,'Apoio - Mat Coletivo e Equip'!$A:$D,3,FALSE),"")</f>
        <v/>
      </c>
      <c r="H18" s="742" t="str">
        <f>IFERROR(IF(VLOOKUP($D18,'Apoio - Mat Coletivo e Equip'!$A:$D,4,FALSE)=0,"",VLOOKUP($D18,'Apoio - Mat Coletivo e Equip'!$A:$D,4,FALSE)),"")</f>
        <v/>
      </c>
      <c r="I18" s="774" t="str">
        <f>IFERROR(ROUND((IF(ISNUMBER(H18),H18*'Mão de Obra'!$D$12/12,1)*G18*F18)/'Mão de Obra'!$D$12,2),"")</f>
        <v/>
      </c>
      <c r="J18" s="774" t="str">
        <f>IFERROR(ROUND(I18*(1+
SUM(
IFERROR(SUMPRODUCT('Mão de Obra'!$E$169:$II$169,'Mão de Obra'!$E$29:$II$29),0),
IFERROR(SUMPRODUCT(Produtividade!$E$171:$II$171,Produtividade!$E$29:$II$29),0),
IFERROR(SUMPRODUCT(Veículos!$E$81:$II$81,Veículos!$E$4:$II$4),0)
)
/
Proposta!$J$62),2),"")</f>
        <v/>
      </c>
    </row>
    <row r="19" spans="2:10">
      <c r="B19" s="250">
        <v>14</v>
      </c>
      <c r="C19" s="250"/>
      <c r="D19" s="386"/>
      <c r="E19" s="250" t="str">
        <f>IFERROR(VLOOKUP($D19,'Apoio - Mat Coletivo e Equip'!$A:$D,2,FALSE),"")</f>
        <v/>
      </c>
      <c r="F19" s="449"/>
      <c r="G19" s="743" t="str">
        <f>IFERROR(VLOOKUP($D19,'Apoio - Mat Coletivo e Equip'!$A:$D,3,FALSE),"")</f>
        <v/>
      </c>
      <c r="H19" s="742" t="str">
        <f>IFERROR(IF(VLOOKUP($D19,'Apoio - Mat Coletivo e Equip'!$A:$D,4,FALSE)=0,"",VLOOKUP($D19,'Apoio - Mat Coletivo e Equip'!$A:$D,4,FALSE)),"")</f>
        <v/>
      </c>
      <c r="I19" s="774" t="str">
        <f>IFERROR(ROUND((IF(ISNUMBER(H19),H19*'Mão de Obra'!$D$12/12,1)*G19*F19)/'Mão de Obra'!$D$12,2),"")</f>
        <v/>
      </c>
      <c r="J19" s="774" t="str">
        <f>IFERROR(ROUND(I19*(1+
SUM(
IFERROR(SUMPRODUCT('Mão de Obra'!$E$169:$II$169,'Mão de Obra'!$E$29:$II$29),0),
IFERROR(SUMPRODUCT(Produtividade!$E$171:$II$171,Produtividade!$E$29:$II$29),0),
IFERROR(SUMPRODUCT(Veículos!$E$81:$II$81,Veículos!$E$4:$II$4),0)
)
/
Proposta!$J$62),2),"")</f>
        <v/>
      </c>
    </row>
    <row r="20" spans="2:10">
      <c r="B20" s="250">
        <v>15</v>
      </c>
      <c r="C20" s="250"/>
      <c r="D20" s="386"/>
      <c r="E20" s="250" t="str">
        <f>IFERROR(VLOOKUP($D20,'Apoio - Mat Coletivo e Equip'!$A:$D,2,FALSE),"")</f>
        <v/>
      </c>
      <c r="F20" s="449"/>
      <c r="G20" s="743" t="str">
        <f>IFERROR(VLOOKUP($D20,'Apoio - Mat Coletivo e Equip'!$A:$D,3,FALSE),"")</f>
        <v/>
      </c>
      <c r="H20" s="742" t="str">
        <f>IFERROR(IF(VLOOKUP($D20,'Apoio - Mat Coletivo e Equip'!$A:$D,4,FALSE)=0,"",VLOOKUP($D20,'Apoio - Mat Coletivo e Equip'!$A:$D,4,FALSE)),"")</f>
        <v/>
      </c>
      <c r="I20" s="774" t="str">
        <f>IFERROR(ROUND((IF(ISNUMBER(H20),H20*'Mão de Obra'!$D$12/12,1)*G20*F20)/'Mão de Obra'!$D$12,2),"")</f>
        <v/>
      </c>
      <c r="J20" s="774" t="str">
        <f>IFERROR(ROUND(I20*(1+
SUM(
IFERROR(SUMPRODUCT('Mão de Obra'!$E$169:$II$169,'Mão de Obra'!$E$29:$II$29),0),
IFERROR(SUMPRODUCT(Produtividade!$E$171:$II$171,Produtividade!$E$29:$II$29),0),
IFERROR(SUMPRODUCT(Veículos!$E$81:$II$81,Veículos!$E$4:$II$4),0)
)
/
Proposta!$J$62),2),"")</f>
        <v/>
      </c>
    </row>
    <row r="21" spans="2:10">
      <c r="B21" s="250">
        <v>16</v>
      </c>
      <c r="C21" s="250"/>
      <c r="D21" s="386"/>
      <c r="E21" s="250" t="str">
        <f>IFERROR(VLOOKUP($D21,'Apoio - Mat Coletivo e Equip'!$A:$D,2,FALSE),"")</f>
        <v/>
      </c>
      <c r="F21" s="449"/>
      <c r="G21" s="743" t="str">
        <f>IFERROR(VLOOKUP($D21,'Apoio - Mat Coletivo e Equip'!$A:$D,3,FALSE),"")</f>
        <v/>
      </c>
      <c r="H21" s="742" t="str">
        <f>IFERROR(IF(VLOOKUP($D21,'Apoio - Mat Coletivo e Equip'!$A:$D,4,FALSE)=0,"",VLOOKUP($D21,'Apoio - Mat Coletivo e Equip'!$A:$D,4,FALSE)),"")</f>
        <v/>
      </c>
      <c r="I21" s="774" t="str">
        <f>IFERROR(ROUND((IF(ISNUMBER(H21),H21*'Mão de Obra'!$D$12/12,1)*G21*F21)/'Mão de Obra'!$D$12,2),"")</f>
        <v/>
      </c>
      <c r="J21" s="774" t="str">
        <f>IFERROR(ROUND(I21*(1+
SUM(
IFERROR(SUMPRODUCT('Mão de Obra'!$E$169:$II$169,'Mão de Obra'!$E$29:$II$29),0),
IFERROR(SUMPRODUCT(Produtividade!$E$171:$II$171,Produtividade!$E$29:$II$29),0),
IFERROR(SUMPRODUCT(Veículos!$E$81:$II$81,Veículos!$E$4:$II$4),0)
)
/
Proposta!$J$62),2),"")</f>
        <v/>
      </c>
    </row>
    <row r="22" spans="2:10">
      <c r="B22" s="250">
        <v>17</v>
      </c>
      <c r="C22" s="250"/>
      <c r="D22" s="386"/>
      <c r="E22" s="250" t="str">
        <f>IFERROR(VLOOKUP($D22,'Apoio - Mat Coletivo e Equip'!$A:$D,2,FALSE),"")</f>
        <v/>
      </c>
      <c r="F22" s="449"/>
      <c r="G22" s="743" t="str">
        <f>IFERROR(VLOOKUP($D22,'Apoio - Mat Coletivo e Equip'!$A:$D,3,FALSE),"")</f>
        <v/>
      </c>
      <c r="H22" s="742" t="str">
        <f>IFERROR(IF(VLOOKUP($D22,'Apoio - Mat Coletivo e Equip'!$A:$D,4,FALSE)=0,"",VLOOKUP($D22,'Apoio - Mat Coletivo e Equip'!$A:$D,4,FALSE)),"")</f>
        <v/>
      </c>
      <c r="I22" s="774" t="str">
        <f>IFERROR(ROUND((IF(ISNUMBER(H22),H22*'Mão de Obra'!$D$12/12,1)*G22*F22)/'Mão de Obra'!$D$12,2),"")</f>
        <v/>
      </c>
      <c r="J22" s="774" t="str">
        <f>IFERROR(ROUND(I22*(1+
SUM(
IFERROR(SUMPRODUCT('Mão de Obra'!$E$169:$II$169,'Mão de Obra'!$E$29:$II$29),0),
IFERROR(SUMPRODUCT(Produtividade!$E$171:$II$171,Produtividade!$E$29:$II$29),0),
IFERROR(SUMPRODUCT(Veículos!$E$81:$II$81,Veículos!$E$4:$II$4),0)
)
/
Proposta!$J$62),2),"")</f>
        <v/>
      </c>
    </row>
    <row r="23" spans="2:10">
      <c r="B23" s="250">
        <v>18</v>
      </c>
      <c r="C23" s="250"/>
      <c r="D23" s="386"/>
      <c r="E23" s="250" t="str">
        <f>IFERROR(VLOOKUP($D23,'Apoio - Mat Coletivo e Equip'!$A:$D,2,FALSE),"")</f>
        <v/>
      </c>
      <c r="F23" s="449"/>
      <c r="G23" s="743" t="str">
        <f>IFERROR(VLOOKUP($D23,'Apoio - Mat Coletivo e Equip'!$A:$D,3,FALSE),"")</f>
        <v/>
      </c>
      <c r="H23" s="742" t="str">
        <f>IFERROR(IF(VLOOKUP($D23,'Apoio - Mat Coletivo e Equip'!$A:$D,4,FALSE)=0,"",VLOOKUP($D23,'Apoio - Mat Coletivo e Equip'!$A:$D,4,FALSE)),"")</f>
        <v/>
      </c>
      <c r="I23" s="774" t="str">
        <f>IFERROR(ROUND((IF(ISNUMBER(H23),H23*'Mão de Obra'!$D$12/12,1)*G23*F23)/'Mão de Obra'!$D$12,2),"")</f>
        <v/>
      </c>
      <c r="J23" s="774" t="str">
        <f>IFERROR(ROUND(I23*(1+
SUM(
IFERROR(SUMPRODUCT('Mão de Obra'!$E$169:$II$169,'Mão de Obra'!$E$29:$II$29),0),
IFERROR(SUMPRODUCT(Produtividade!$E$171:$II$171,Produtividade!$E$29:$II$29),0),
IFERROR(SUMPRODUCT(Veículos!$E$81:$II$81,Veículos!$E$4:$II$4),0)
)
/
Proposta!$J$62),2),"")</f>
        <v/>
      </c>
    </row>
    <row r="24" spans="2:10">
      <c r="B24" s="250">
        <v>19</v>
      </c>
      <c r="C24" s="250"/>
      <c r="D24" s="386"/>
      <c r="E24" s="250" t="str">
        <f>IFERROR(VLOOKUP($D24,'Apoio - Mat Coletivo e Equip'!$A:$D,2,FALSE),"")</f>
        <v/>
      </c>
      <c r="F24" s="449"/>
      <c r="G24" s="743" t="str">
        <f>IFERROR(VLOOKUP($D24,'Apoio - Mat Coletivo e Equip'!$A:$D,3,FALSE),"")</f>
        <v/>
      </c>
      <c r="H24" s="742" t="str">
        <f>IFERROR(IF(VLOOKUP($D24,'Apoio - Mat Coletivo e Equip'!$A:$D,4,FALSE)=0,"",VLOOKUP($D24,'Apoio - Mat Coletivo e Equip'!$A:$D,4,FALSE)),"")</f>
        <v/>
      </c>
      <c r="I24" s="774" t="str">
        <f>IFERROR(ROUND((IF(ISNUMBER(H24),H24*'Mão de Obra'!$D$12/12,1)*G24*F24)/'Mão de Obra'!$D$12,2),"")</f>
        <v/>
      </c>
      <c r="J24" s="774" t="str">
        <f>IFERROR(ROUND(I24*(1+
SUM(
IFERROR(SUMPRODUCT('Mão de Obra'!$E$169:$II$169,'Mão de Obra'!$E$29:$II$29),0),
IFERROR(SUMPRODUCT(Produtividade!$E$171:$II$171,Produtividade!$E$29:$II$29),0),
IFERROR(SUMPRODUCT(Veículos!$E$81:$II$81,Veículos!$E$4:$II$4),0)
)
/
Proposta!$J$62),2),"")</f>
        <v/>
      </c>
    </row>
    <row r="25" spans="2:10">
      <c r="B25" s="250">
        <v>20</v>
      </c>
      <c r="C25" s="250"/>
      <c r="D25" s="386"/>
      <c r="E25" s="250" t="str">
        <f>IFERROR(VLOOKUP($D25,'Apoio - Mat Coletivo e Equip'!$A:$D,2,FALSE),"")</f>
        <v/>
      </c>
      <c r="F25" s="449"/>
      <c r="G25" s="743" t="str">
        <f>IFERROR(VLOOKUP($D25,'Apoio - Mat Coletivo e Equip'!$A:$D,3,FALSE),"")</f>
        <v/>
      </c>
      <c r="H25" s="742" t="str">
        <f>IFERROR(IF(VLOOKUP($D25,'Apoio - Mat Coletivo e Equip'!$A:$D,4,FALSE)=0,"",VLOOKUP($D25,'Apoio - Mat Coletivo e Equip'!$A:$D,4,FALSE)),"")</f>
        <v/>
      </c>
      <c r="I25" s="774" t="str">
        <f>IFERROR(ROUND((IF(ISNUMBER(H25),H25*'Mão de Obra'!$D$12/12,1)*G25*F25)/'Mão de Obra'!$D$12,2),"")</f>
        <v/>
      </c>
      <c r="J25" s="774" t="str">
        <f>IFERROR(ROUND(I25*(1+
SUM(
IFERROR(SUMPRODUCT('Mão de Obra'!$E$169:$II$169,'Mão de Obra'!$E$29:$II$29),0),
IFERROR(SUMPRODUCT(Produtividade!$E$171:$II$171,Produtividade!$E$29:$II$29),0),
IFERROR(SUMPRODUCT(Veículos!$E$81:$II$81,Veículos!$E$4:$II$4),0)
)
/
Proposta!$J$62),2),"")</f>
        <v/>
      </c>
    </row>
    <row r="26" spans="2:10">
      <c r="B26" s="250">
        <v>21</v>
      </c>
      <c r="C26" s="250"/>
      <c r="D26" s="386"/>
      <c r="E26" s="250" t="str">
        <f>IFERROR(VLOOKUP($D26,'Apoio - Mat Coletivo e Equip'!$A:$D,2,FALSE),"")</f>
        <v/>
      </c>
      <c r="F26" s="449"/>
      <c r="G26" s="743" t="str">
        <f>IFERROR(VLOOKUP($D26,'Apoio - Mat Coletivo e Equip'!$A:$D,3,FALSE),"")</f>
        <v/>
      </c>
      <c r="H26" s="742" t="str">
        <f>IFERROR(IF(VLOOKUP($D26,'Apoio - Mat Coletivo e Equip'!$A:$D,4,FALSE)=0,"",VLOOKUP($D26,'Apoio - Mat Coletivo e Equip'!$A:$D,4,FALSE)),"")</f>
        <v/>
      </c>
      <c r="I26" s="774" t="str">
        <f>IFERROR(ROUND((IF(ISNUMBER(H26),H26*'Mão de Obra'!$D$12/12,1)*G26*F26)/'Mão de Obra'!$D$12,2),"")</f>
        <v/>
      </c>
      <c r="J26" s="774" t="str">
        <f>IFERROR(ROUND(I26*(1+
SUM(
IFERROR(SUMPRODUCT('Mão de Obra'!$E$169:$II$169,'Mão de Obra'!$E$29:$II$29),0),
IFERROR(SUMPRODUCT(Produtividade!$E$171:$II$171,Produtividade!$E$29:$II$29),0),
IFERROR(SUMPRODUCT(Veículos!$E$81:$II$81,Veículos!$E$4:$II$4),0)
)
/
Proposta!$J$62),2),"")</f>
        <v/>
      </c>
    </row>
    <row r="27" spans="2:10" s="42" customFormat="1">
      <c r="B27" s="250">
        <v>22</v>
      </c>
      <c r="C27" s="250"/>
      <c r="D27" s="386"/>
      <c r="E27" s="250" t="str">
        <f>IFERROR(VLOOKUP($D27,'Apoio - Mat Coletivo e Equip'!$A:$D,2,FALSE),"")</f>
        <v/>
      </c>
      <c r="F27" s="449"/>
      <c r="G27" s="743" t="str">
        <f>IFERROR(VLOOKUP($D27,'Apoio - Mat Coletivo e Equip'!$A:$D,3,FALSE),"")</f>
        <v/>
      </c>
      <c r="H27" s="742" t="str">
        <f>IFERROR(IF(VLOOKUP($D27,'Apoio - Mat Coletivo e Equip'!$A:$D,4,FALSE)=0,"",VLOOKUP($D27,'Apoio - Mat Coletivo e Equip'!$A:$D,4,FALSE)),"")</f>
        <v/>
      </c>
      <c r="I27" s="774" t="str">
        <f>IFERROR(ROUND((IF(ISNUMBER(H27),H27*'Mão de Obra'!$D$12/12,1)*G27*F27)/'Mão de Obra'!$D$12,2),"")</f>
        <v/>
      </c>
      <c r="J27" s="774" t="str">
        <f>IFERROR(ROUND(I27*(1+
SUM(
IFERROR(SUMPRODUCT('Mão de Obra'!$E$169:$II$169,'Mão de Obra'!$E$29:$II$29),0),
IFERROR(SUMPRODUCT(Produtividade!$E$171:$II$171,Produtividade!$E$29:$II$29),0),
IFERROR(SUMPRODUCT(Veículos!$E$81:$II$81,Veículos!$E$4:$II$4),0)
)
/
Proposta!$J$62),2),"")</f>
        <v/>
      </c>
    </row>
    <row r="28" spans="2:10" s="42" customFormat="1">
      <c r="B28" s="250">
        <v>23</v>
      </c>
      <c r="C28" s="250"/>
      <c r="D28" s="386"/>
      <c r="E28" s="250" t="str">
        <f>IFERROR(VLOOKUP($D28,'Apoio - Mat Coletivo e Equip'!$A:$D,2,FALSE),"")</f>
        <v/>
      </c>
      <c r="F28" s="449"/>
      <c r="G28" s="743" t="str">
        <f>IFERROR(VLOOKUP($D28,'Apoio - Mat Coletivo e Equip'!$A:$D,3,FALSE),"")</f>
        <v/>
      </c>
      <c r="H28" s="742" t="str">
        <f>IFERROR(IF(VLOOKUP($D28,'Apoio - Mat Coletivo e Equip'!$A:$D,4,FALSE)=0,"",VLOOKUP($D28,'Apoio - Mat Coletivo e Equip'!$A:$D,4,FALSE)),"")</f>
        <v/>
      </c>
      <c r="I28" s="774" t="str">
        <f>IFERROR(ROUND((IF(ISNUMBER(H28),H28*'Mão de Obra'!$D$12/12,1)*G28*F28)/'Mão de Obra'!$D$12,2),"")</f>
        <v/>
      </c>
      <c r="J28" s="774" t="str">
        <f>IFERROR(ROUND(I28*(1+
SUM(
IFERROR(SUMPRODUCT('Mão de Obra'!$E$169:$II$169,'Mão de Obra'!$E$29:$II$29),0),
IFERROR(SUMPRODUCT(Produtividade!$E$171:$II$171,Produtividade!$E$29:$II$29),0),
IFERROR(SUMPRODUCT(Veículos!$E$81:$II$81,Veículos!$E$4:$II$4),0)
)
/
Proposta!$J$62),2),"")</f>
        <v/>
      </c>
    </row>
    <row r="29" spans="2:10" s="42" customFormat="1">
      <c r="B29" s="250">
        <v>24</v>
      </c>
      <c r="C29" s="250"/>
      <c r="D29" s="386"/>
      <c r="E29" s="250" t="str">
        <f>IFERROR(VLOOKUP($D29,'Apoio - Mat Coletivo e Equip'!$A:$D,2,FALSE),"")</f>
        <v/>
      </c>
      <c r="F29" s="449"/>
      <c r="G29" s="743" t="str">
        <f>IFERROR(VLOOKUP($D29,'Apoio - Mat Coletivo e Equip'!$A:$D,3,FALSE),"")</f>
        <v/>
      </c>
      <c r="H29" s="742" t="str">
        <f>IFERROR(IF(VLOOKUP($D29,'Apoio - Mat Coletivo e Equip'!$A:$D,4,FALSE)=0,"",VLOOKUP($D29,'Apoio - Mat Coletivo e Equip'!$A:$D,4,FALSE)),"")</f>
        <v/>
      </c>
      <c r="I29" s="774" t="str">
        <f>IFERROR(ROUND((IF(ISNUMBER(H29),H29*'Mão de Obra'!$D$12/12,1)*G29*F29)/'Mão de Obra'!$D$12,2),"")</f>
        <v/>
      </c>
      <c r="J29" s="774" t="str">
        <f>IFERROR(ROUND(I29*(1+
SUM(
IFERROR(SUMPRODUCT('Mão de Obra'!$E$169:$II$169,'Mão de Obra'!$E$29:$II$29),0),
IFERROR(SUMPRODUCT(Produtividade!$E$171:$II$171,Produtividade!$E$29:$II$29),0),
IFERROR(SUMPRODUCT(Veículos!$E$81:$II$81,Veículos!$E$4:$II$4),0)
)
/
Proposta!$J$62),2),"")</f>
        <v/>
      </c>
    </row>
    <row r="30" spans="2:10" s="42" customFormat="1">
      <c r="B30" s="250">
        <v>25</v>
      </c>
      <c r="C30" s="250"/>
      <c r="D30" s="386"/>
      <c r="E30" s="250" t="str">
        <f>IFERROR(VLOOKUP($D30,'Apoio - Mat Coletivo e Equip'!$A:$D,2,FALSE),"")</f>
        <v/>
      </c>
      <c r="F30" s="449"/>
      <c r="G30" s="743" t="str">
        <f>IFERROR(VLOOKUP($D30,'Apoio - Mat Coletivo e Equip'!$A:$D,3,FALSE),"")</f>
        <v/>
      </c>
      <c r="H30" s="742" t="str">
        <f>IFERROR(IF(VLOOKUP($D30,'Apoio - Mat Coletivo e Equip'!$A:$D,4,FALSE)=0,"",VLOOKUP($D30,'Apoio - Mat Coletivo e Equip'!$A:$D,4,FALSE)),"")</f>
        <v/>
      </c>
      <c r="I30" s="774" t="str">
        <f>IFERROR(ROUND((IF(ISNUMBER(H30),H30*'Mão de Obra'!$D$12/12,1)*G30*F30)/'Mão de Obra'!$D$12,2),"")</f>
        <v/>
      </c>
      <c r="J30" s="774" t="str">
        <f>IFERROR(ROUND(I30*(1+
SUM(
IFERROR(SUMPRODUCT('Mão de Obra'!$E$169:$II$169,'Mão de Obra'!$E$29:$II$29),0),
IFERROR(SUMPRODUCT(Produtividade!$E$171:$II$171,Produtividade!$E$29:$II$29),0),
IFERROR(SUMPRODUCT(Veículos!$E$81:$II$81,Veículos!$E$4:$II$4),0)
)
/
Proposta!$J$62),2),"")</f>
        <v/>
      </c>
    </row>
    <row r="31" spans="2:10" s="42" customFormat="1">
      <c r="B31" s="250">
        <v>26</v>
      </c>
      <c r="C31" s="250"/>
      <c r="D31" s="386"/>
      <c r="E31" s="250" t="str">
        <f>IFERROR(VLOOKUP($D31,'Apoio - Mat Coletivo e Equip'!$A:$D,2,FALSE),"")</f>
        <v/>
      </c>
      <c r="F31" s="449"/>
      <c r="G31" s="743" t="str">
        <f>IFERROR(VLOOKUP($D31,'Apoio - Mat Coletivo e Equip'!$A:$D,3,FALSE),"")</f>
        <v/>
      </c>
      <c r="H31" s="742" t="str">
        <f>IFERROR(IF(VLOOKUP($D31,'Apoio - Mat Coletivo e Equip'!$A:$D,4,FALSE)=0,"",VLOOKUP($D31,'Apoio - Mat Coletivo e Equip'!$A:$D,4,FALSE)),"")</f>
        <v/>
      </c>
      <c r="I31" s="774" t="str">
        <f>IFERROR(ROUND((IF(ISNUMBER(H31),H31*'Mão de Obra'!$D$12/12,1)*G31*F31)/'Mão de Obra'!$D$12,2),"")</f>
        <v/>
      </c>
      <c r="J31" s="774" t="str">
        <f>IFERROR(ROUND(I31*(1+
SUM(
IFERROR(SUMPRODUCT('Mão de Obra'!$E$169:$II$169,'Mão de Obra'!$E$29:$II$29),0),
IFERROR(SUMPRODUCT(Produtividade!$E$171:$II$171,Produtividade!$E$29:$II$29),0),
IFERROR(SUMPRODUCT(Veículos!$E$81:$II$81,Veículos!$E$4:$II$4),0)
)
/
Proposta!$J$62),2),"")</f>
        <v/>
      </c>
    </row>
    <row r="32" spans="2:10" s="42" customFormat="1">
      <c r="B32" s="250">
        <v>27</v>
      </c>
      <c r="C32" s="250"/>
      <c r="D32" s="386"/>
      <c r="E32" s="250" t="str">
        <f>IFERROR(VLOOKUP($D32,'Apoio - Mat Coletivo e Equip'!$A:$D,2,FALSE),"")</f>
        <v/>
      </c>
      <c r="F32" s="449"/>
      <c r="G32" s="743" t="str">
        <f>IFERROR(VLOOKUP($D32,'Apoio - Mat Coletivo e Equip'!$A:$D,3,FALSE),"")</f>
        <v/>
      </c>
      <c r="H32" s="742" t="str">
        <f>IFERROR(IF(VLOOKUP($D32,'Apoio - Mat Coletivo e Equip'!$A:$D,4,FALSE)=0,"",VLOOKUP($D32,'Apoio - Mat Coletivo e Equip'!$A:$D,4,FALSE)),"")</f>
        <v/>
      </c>
      <c r="I32" s="774" t="str">
        <f>IFERROR(ROUND((IF(ISNUMBER(H32),H32*'Mão de Obra'!$D$12/12,1)*G32*F32)/'Mão de Obra'!$D$12,2),"")</f>
        <v/>
      </c>
      <c r="J32" s="774" t="str">
        <f>IFERROR(ROUND(I32*(1+
SUM(
IFERROR(SUMPRODUCT('Mão de Obra'!$E$169:$II$169,'Mão de Obra'!$E$29:$II$29),0),
IFERROR(SUMPRODUCT(Produtividade!$E$171:$II$171,Produtividade!$E$29:$II$29),0),
IFERROR(SUMPRODUCT(Veículos!$E$81:$II$81,Veículos!$E$4:$II$4),0)
)
/
Proposta!$J$62),2),"")</f>
        <v/>
      </c>
    </row>
    <row r="33" spans="2:10" s="42" customFormat="1">
      <c r="B33" s="250">
        <v>28</v>
      </c>
      <c r="C33" s="250"/>
      <c r="D33" s="386"/>
      <c r="E33" s="250" t="str">
        <f>IFERROR(VLOOKUP($D33,'Apoio - Mat Coletivo e Equip'!$A:$D,2,FALSE),"")</f>
        <v/>
      </c>
      <c r="F33" s="449"/>
      <c r="G33" s="743" t="str">
        <f>IFERROR(VLOOKUP($D33,'Apoio - Mat Coletivo e Equip'!$A:$D,3,FALSE),"")</f>
        <v/>
      </c>
      <c r="H33" s="742" t="str">
        <f>IFERROR(IF(VLOOKUP($D33,'Apoio - Mat Coletivo e Equip'!$A:$D,4,FALSE)=0,"",VLOOKUP($D33,'Apoio - Mat Coletivo e Equip'!$A:$D,4,FALSE)),"")</f>
        <v/>
      </c>
      <c r="I33" s="774" t="str">
        <f>IFERROR(ROUND((IF(ISNUMBER(H33),H33*'Mão de Obra'!$D$12/12,1)*G33*F33)/'Mão de Obra'!$D$12,2),"")</f>
        <v/>
      </c>
      <c r="J33" s="774" t="str">
        <f>IFERROR(ROUND(I33*(1+
SUM(
IFERROR(SUMPRODUCT('Mão de Obra'!$E$169:$II$169,'Mão de Obra'!$E$29:$II$29),0),
IFERROR(SUMPRODUCT(Produtividade!$E$171:$II$171,Produtividade!$E$29:$II$29),0),
IFERROR(SUMPRODUCT(Veículos!$E$81:$II$81,Veículos!$E$4:$II$4),0)
)
/
Proposta!$J$62),2),"")</f>
        <v/>
      </c>
    </row>
    <row r="34" spans="2:10" s="42" customFormat="1">
      <c r="B34" s="250">
        <v>29</v>
      </c>
      <c r="C34" s="250"/>
      <c r="D34" s="386"/>
      <c r="E34" s="250" t="str">
        <f>IFERROR(VLOOKUP($D34,'Apoio - Mat Coletivo e Equip'!$A:$D,2,FALSE),"")</f>
        <v/>
      </c>
      <c r="F34" s="449"/>
      <c r="G34" s="743" t="str">
        <f>IFERROR(VLOOKUP($D34,'Apoio - Mat Coletivo e Equip'!$A:$D,3,FALSE),"")</f>
        <v/>
      </c>
      <c r="H34" s="742" t="str">
        <f>IFERROR(IF(VLOOKUP($D34,'Apoio - Mat Coletivo e Equip'!$A:$D,4,FALSE)=0,"",VLOOKUP($D34,'Apoio - Mat Coletivo e Equip'!$A:$D,4,FALSE)),"")</f>
        <v/>
      </c>
      <c r="I34" s="774" t="str">
        <f>IFERROR(ROUND((IF(ISNUMBER(H34),H34*'Mão de Obra'!$D$12/12,1)*G34*F34)/'Mão de Obra'!$D$12,2),"")</f>
        <v/>
      </c>
      <c r="J34" s="774" t="str">
        <f>IFERROR(ROUND(I34*(1+
SUM(
IFERROR(SUMPRODUCT('Mão de Obra'!$E$169:$II$169,'Mão de Obra'!$E$29:$II$29),0),
IFERROR(SUMPRODUCT(Produtividade!$E$171:$II$171,Produtividade!$E$29:$II$29),0),
IFERROR(SUMPRODUCT(Veículos!$E$81:$II$81,Veículos!$E$4:$II$4),0)
)
/
Proposta!$J$62),2),"")</f>
        <v/>
      </c>
    </row>
    <row r="35" spans="2:10" s="42" customFormat="1">
      <c r="B35" s="250">
        <v>30</v>
      </c>
      <c r="C35" s="250"/>
      <c r="D35" s="386"/>
      <c r="E35" s="250" t="str">
        <f>IFERROR(VLOOKUP($D35,'Apoio - Mat Coletivo e Equip'!$A:$D,2,FALSE),"")</f>
        <v/>
      </c>
      <c r="F35" s="449"/>
      <c r="G35" s="743" t="str">
        <f>IFERROR(VLOOKUP($D35,'Apoio - Mat Coletivo e Equip'!$A:$D,3,FALSE),"")</f>
        <v/>
      </c>
      <c r="H35" s="742" t="str">
        <f>IFERROR(IF(VLOOKUP($D35,'Apoio - Mat Coletivo e Equip'!$A:$D,4,FALSE)=0,"",VLOOKUP($D35,'Apoio - Mat Coletivo e Equip'!$A:$D,4,FALSE)),"")</f>
        <v/>
      </c>
      <c r="I35" s="774" t="str">
        <f>IFERROR(ROUND((IF(ISNUMBER(H35),H35*'Mão de Obra'!$D$12/12,1)*G35*F35)/'Mão de Obra'!$D$12,2),"")</f>
        <v/>
      </c>
      <c r="J35" s="774" t="str">
        <f>IFERROR(ROUND(I35*(1+
SUM(
IFERROR(SUMPRODUCT('Mão de Obra'!$E$169:$II$169,'Mão de Obra'!$E$29:$II$29),0),
IFERROR(SUMPRODUCT(Produtividade!$E$171:$II$171,Produtividade!$E$29:$II$29),0),
IFERROR(SUMPRODUCT(Veículos!$E$81:$II$81,Veículos!$E$4:$II$4),0)
)
/
Proposta!$J$62),2),"")</f>
        <v/>
      </c>
    </row>
    <row r="36" spans="2:10" s="42" customFormat="1">
      <c r="B36" s="250">
        <v>31</v>
      </c>
      <c r="C36" s="250"/>
      <c r="D36" s="386"/>
      <c r="E36" s="250" t="str">
        <f>IFERROR(VLOOKUP($D36,'Apoio - Mat Coletivo e Equip'!$A:$D,2,FALSE),"")</f>
        <v/>
      </c>
      <c r="F36" s="449"/>
      <c r="G36" s="743" t="str">
        <f>IFERROR(VLOOKUP($D36,'Apoio - Mat Coletivo e Equip'!$A:$D,3,FALSE),"")</f>
        <v/>
      </c>
      <c r="H36" s="742" t="str">
        <f>IFERROR(IF(VLOOKUP($D36,'Apoio - Mat Coletivo e Equip'!$A:$D,4,FALSE)=0,"",VLOOKUP($D36,'Apoio - Mat Coletivo e Equip'!$A:$D,4,FALSE)),"")</f>
        <v/>
      </c>
      <c r="I36" s="774" t="str">
        <f>IFERROR(ROUND((IF(ISNUMBER(H36),H36*'Mão de Obra'!$D$12/12,1)*G36*F36)/'Mão de Obra'!$D$12,2),"")</f>
        <v/>
      </c>
      <c r="J36" s="774" t="str">
        <f>IFERROR(ROUND(I36*(1+
SUM(
IFERROR(SUMPRODUCT('Mão de Obra'!$E$169:$II$169,'Mão de Obra'!$E$29:$II$29),0),
IFERROR(SUMPRODUCT(Produtividade!$E$171:$II$171,Produtividade!$E$29:$II$29),0),
IFERROR(SUMPRODUCT(Veículos!$E$81:$II$81,Veículos!$E$4:$II$4),0)
)
/
Proposta!$J$62),2),"")</f>
        <v/>
      </c>
    </row>
    <row r="37" spans="2:10" s="42" customFormat="1">
      <c r="B37" s="250">
        <v>32</v>
      </c>
      <c r="C37" s="250"/>
      <c r="D37" s="386"/>
      <c r="E37" s="250" t="str">
        <f>IFERROR(VLOOKUP($D37,'Apoio - Mat Coletivo e Equip'!$A:$D,2,FALSE),"")</f>
        <v/>
      </c>
      <c r="F37" s="449"/>
      <c r="G37" s="743" t="str">
        <f>IFERROR(VLOOKUP($D37,'Apoio - Mat Coletivo e Equip'!$A:$D,3,FALSE),"")</f>
        <v/>
      </c>
      <c r="H37" s="742" t="str">
        <f>IFERROR(IF(VLOOKUP($D37,'Apoio - Mat Coletivo e Equip'!$A:$D,4,FALSE)=0,"",VLOOKUP($D37,'Apoio - Mat Coletivo e Equip'!$A:$D,4,FALSE)),"")</f>
        <v/>
      </c>
      <c r="I37" s="774" t="str">
        <f>IFERROR(ROUND((IF(ISNUMBER(H37),H37*'Mão de Obra'!$D$12/12,1)*G37*F37)/'Mão de Obra'!$D$12,2),"")</f>
        <v/>
      </c>
      <c r="J37" s="774" t="str">
        <f>IFERROR(ROUND(I37*(1+
SUM(
IFERROR(SUMPRODUCT('Mão de Obra'!$E$169:$II$169,'Mão de Obra'!$E$29:$II$29),0),
IFERROR(SUMPRODUCT(Produtividade!$E$171:$II$171,Produtividade!$E$29:$II$29),0),
IFERROR(SUMPRODUCT(Veículos!$E$81:$II$81,Veículos!$E$4:$II$4),0)
)
/
Proposta!$J$62),2),"")</f>
        <v/>
      </c>
    </row>
    <row r="38" spans="2:10" s="42" customFormat="1">
      <c r="B38" s="250">
        <v>33</v>
      </c>
      <c r="C38" s="250"/>
      <c r="D38" s="386"/>
      <c r="E38" s="250" t="str">
        <f>IFERROR(VLOOKUP($D38,'Apoio - Mat Coletivo e Equip'!$A:$D,2,FALSE),"")</f>
        <v/>
      </c>
      <c r="F38" s="449"/>
      <c r="G38" s="743" t="str">
        <f>IFERROR(VLOOKUP($D38,'Apoio - Mat Coletivo e Equip'!$A:$D,3,FALSE),"")</f>
        <v/>
      </c>
      <c r="H38" s="742" t="str">
        <f>IFERROR(IF(VLOOKUP($D38,'Apoio - Mat Coletivo e Equip'!$A:$D,4,FALSE)=0,"",VLOOKUP($D38,'Apoio - Mat Coletivo e Equip'!$A:$D,4,FALSE)),"")</f>
        <v/>
      </c>
      <c r="I38" s="774" t="str">
        <f>IFERROR(ROUND((IF(ISNUMBER(H38),H38*'Mão de Obra'!$D$12/12,1)*G38*F38)/'Mão de Obra'!$D$12,2),"")</f>
        <v/>
      </c>
      <c r="J38" s="774" t="str">
        <f>IFERROR(ROUND(I38*(1+
SUM(
IFERROR(SUMPRODUCT('Mão de Obra'!$E$169:$II$169,'Mão de Obra'!$E$29:$II$29),0),
IFERROR(SUMPRODUCT(Produtividade!$E$171:$II$171,Produtividade!$E$29:$II$29),0),
IFERROR(SUMPRODUCT(Veículos!$E$81:$II$81,Veículos!$E$4:$II$4),0)
)
/
Proposta!$J$62),2),"")</f>
        <v/>
      </c>
    </row>
    <row r="39" spans="2:10" s="42" customFormat="1">
      <c r="B39" s="250">
        <v>34</v>
      </c>
      <c r="C39" s="250"/>
      <c r="D39" s="386"/>
      <c r="E39" s="250" t="str">
        <f>IFERROR(VLOOKUP($D39,'Apoio - Mat Coletivo e Equip'!$A:$D,2,FALSE),"")</f>
        <v/>
      </c>
      <c r="F39" s="449"/>
      <c r="G39" s="743" t="str">
        <f>IFERROR(VLOOKUP($D39,'Apoio - Mat Coletivo e Equip'!$A:$D,3,FALSE),"")</f>
        <v/>
      </c>
      <c r="H39" s="742" t="str">
        <f>IFERROR(IF(VLOOKUP($D39,'Apoio - Mat Coletivo e Equip'!$A:$D,4,FALSE)=0,"",VLOOKUP($D39,'Apoio - Mat Coletivo e Equip'!$A:$D,4,FALSE)),"")</f>
        <v/>
      </c>
      <c r="I39" s="774" t="str">
        <f>IFERROR(ROUND((IF(ISNUMBER(H39),H39*'Mão de Obra'!$D$12/12,1)*G39*F39)/'Mão de Obra'!$D$12,2),"")</f>
        <v/>
      </c>
      <c r="J39" s="774" t="str">
        <f>IFERROR(ROUND(I39*(1+
SUM(
IFERROR(SUMPRODUCT('Mão de Obra'!$E$169:$II$169,'Mão de Obra'!$E$29:$II$29),0),
IFERROR(SUMPRODUCT(Produtividade!$E$171:$II$171,Produtividade!$E$29:$II$29),0),
IFERROR(SUMPRODUCT(Veículos!$E$81:$II$81,Veículos!$E$4:$II$4),0)
)
/
Proposta!$J$62),2),"")</f>
        <v/>
      </c>
    </row>
    <row r="40" spans="2:10" s="42" customFormat="1">
      <c r="B40" s="250">
        <v>35</v>
      </c>
      <c r="C40" s="250"/>
      <c r="D40" s="386"/>
      <c r="E40" s="250" t="str">
        <f>IFERROR(VLOOKUP($D40,'Apoio - Mat Coletivo e Equip'!$A:$D,2,FALSE),"")</f>
        <v/>
      </c>
      <c r="F40" s="449"/>
      <c r="G40" s="743" t="str">
        <f>IFERROR(VLOOKUP($D40,'Apoio - Mat Coletivo e Equip'!$A:$D,3,FALSE),"")</f>
        <v/>
      </c>
      <c r="H40" s="742" t="str">
        <f>IFERROR(IF(VLOOKUP($D40,'Apoio - Mat Coletivo e Equip'!$A:$D,4,FALSE)=0,"",VLOOKUP($D40,'Apoio - Mat Coletivo e Equip'!$A:$D,4,FALSE)),"")</f>
        <v/>
      </c>
      <c r="I40" s="774" t="str">
        <f>IFERROR(ROUND((IF(ISNUMBER(H40),H40*'Mão de Obra'!$D$12/12,1)*G40*F40)/'Mão de Obra'!$D$12,2),"")</f>
        <v/>
      </c>
      <c r="J40" s="774" t="str">
        <f>IFERROR(ROUND(I40*(1+
SUM(
IFERROR(SUMPRODUCT('Mão de Obra'!$E$169:$II$169,'Mão de Obra'!$E$29:$II$29),0),
IFERROR(SUMPRODUCT(Produtividade!$E$171:$II$171,Produtividade!$E$29:$II$29),0),
IFERROR(SUMPRODUCT(Veículos!$E$81:$II$81,Veículos!$E$4:$II$4),0)
)
/
Proposta!$J$62),2),"")</f>
        <v/>
      </c>
    </row>
    <row r="41" spans="2:10" s="42" customFormat="1">
      <c r="B41" s="250">
        <v>36</v>
      </c>
      <c r="C41" s="250"/>
      <c r="D41" s="386"/>
      <c r="E41" s="250" t="str">
        <f>IFERROR(VLOOKUP($D41,'Apoio - Mat Coletivo e Equip'!$A:$D,2,FALSE),"")</f>
        <v/>
      </c>
      <c r="F41" s="449"/>
      <c r="G41" s="743" t="str">
        <f>IFERROR(VLOOKUP($D41,'Apoio - Mat Coletivo e Equip'!$A:$D,3,FALSE),"")</f>
        <v/>
      </c>
      <c r="H41" s="742" t="str">
        <f>IFERROR(IF(VLOOKUP($D41,'Apoio - Mat Coletivo e Equip'!$A:$D,4,FALSE)=0,"",VLOOKUP($D41,'Apoio - Mat Coletivo e Equip'!$A:$D,4,FALSE)),"")</f>
        <v/>
      </c>
      <c r="I41" s="774" t="str">
        <f>IFERROR(ROUND((IF(ISNUMBER(H41),H41*'Mão de Obra'!$D$12/12,1)*G41*F41)/'Mão de Obra'!$D$12,2),"")</f>
        <v/>
      </c>
      <c r="J41" s="774" t="str">
        <f>IFERROR(ROUND(I41*(1+
SUM(
IFERROR(SUMPRODUCT('Mão de Obra'!$E$169:$II$169,'Mão de Obra'!$E$29:$II$29),0),
IFERROR(SUMPRODUCT(Produtividade!$E$171:$II$171,Produtividade!$E$29:$II$29),0),
IFERROR(SUMPRODUCT(Veículos!$E$81:$II$81,Veículos!$E$4:$II$4),0)
)
/
Proposta!$J$62),2),"")</f>
        <v/>
      </c>
    </row>
    <row r="42" spans="2:10" s="42" customFormat="1">
      <c r="B42" s="250">
        <v>37</v>
      </c>
      <c r="C42" s="250"/>
      <c r="D42" s="386"/>
      <c r="E42" s="250" t="str">
        <f>IFERROR(VLOOKUP($D42,'Apoio - Mat Coletivo e Equip'!$A:$D,2,FALSE),"")</f>
        <v/>
      </c>
      <c r="F42" s="449"/>
      <c r="G42" s="743" t="str">
        <f>IFERROR(VLOOKUP($D42,'Apoio - Mat Coletivo e Equip'!$A:$D,3,FALSE),"")</f>
        <v/>
      </c>
      <c r="H42" s="742" t="str">
        <f>IFERROR(IF(VLOOKUP($D42,'Apoio - Mat Coletivo e Equip'!$A:$D,4,FALSE)=0,"",VLOOKUP($D42,'Apoio - Mat Coletivo e Equip'!$A:$D,4,FALSE)),"")</f>
        <v/>
      </c>
      <c r="I42" s="774" t="str">
        <f>IFERROR(ROUND((IF(ISNUMBER(H42),H42*'Mão de Obra'!$D$12/12,1)*G42*F42)/'Mão de Obra'!$D$12,2),"")</f>
        <v/>
      </c>
      <c r="J42" s="774" t="str">
        <f>IFERROR(ROUND(I42*(1+
SUM(
IFERROR(SUMPRODUCT('Mão de Obra'!$E$169:$II$169,'Mão de Obra'!$E$29:$II$29),0),
IFERROR(SUMPRODUCT(Produtividade!$E$171:$II$171,Produtividade!$E$29:$II$29),0),
IFERROR(SUMPRODUCT(Veículos!$E$81:$II$81,Veículos!$E$4:$II$4),0)
)
/
Proposta!$J$62),2),"")</f>
        <v/>
      </c>
    </row>
    <row r="43" spans="2:10" s="42" customFormat="1">
      <c r="B43" s="250">
        <v>38</v>
      </c>
      <c r="C43" s="250"/>
      <c r="D43" s="386"/>
      <c r="E43" s="250" t="str">
        <f>IFERROR(VLOOKUP($D43,'Apoio - Mat Coletivo e Equip'!$A:$D,2,FALSE),"")</f>
        <v/>
      </c>
      <c r="F43" s="449"/>
      <c r="G43" s="743" t="str">
        <f>IFERROR(VLOOKUP($D43,'Apoio - Mat Coletivo e Equip'!$A:$D,3,FALSE),"")</f>
        <v/>
      </c>
      <c r="H43" s="742" t="str">
        <f>IFERROR(IF(VLOOKUP($D43,'Apoio - Mat Coletivo e Equip'!$A:$D,4,FALSE)=0,"",VLOOKUP($D43,'Apoio - Mat Coletivo e Equip'!$A:$D,4,FALSE)),"")</f>
        <v/>
      </c>
      <c r="I43" s="774" t="str">
        <f>IFERROR(ROUND((IF(ISNUMBER(H43),H43*'Mão de Obra'!$D$12/12,1)*G43*F43)/'Mão de Obra'!$D$12,2),"")</f>
        <v/>
      </c>
      <c r="J43" s="774" t="str">
        <f>IFERROR(ROUND(I43*(1+
SUM(
IFERROR(SUMPRODUCT('Mão de Obra'!$E$169:$II$169,'Mão de Obra'!$E$29:$II$29),0),
IFERROR(SUMPRODUCT(Produtividade!$E$171:$II$171,Produtividade!$E$29:$II$29),0),
IFERROR(SUMPRODUCT(Veículos!$E$81:$II$81,Veículos!$E$4:$II$4),0)
)
/
Proposta!$J$62),2),"")</f>
        <v/>
      </c>
    </row>
    <row r="44" spans="2:10" s="42" customFormat="1">
      <c r="B44" s="250">
        <v>39</v>
      </c>
      <c r="C44" s="250"/>
      <c r="D44" s="386"/>
      <c r="E44" s="250" t="str">
        <f>IFERROR(VLOOKUP($D44,'Apoio - Mat Coletivo e Equip'!$A:$D,2,FALSE),"")</f>
        <v/>
      </c>
      <c r="F44" s="449"/>
      <c r="G44" s="743" t="str">
        <f>IFERROR(VLOOKUP($D44,'Apoio - Mat Coletivo e Equip'!$A:$D,3,FALSE),"")</f>
        <v/>
      </c>
      <c r="H44" s="742" t="str">
        <f>IFERROR(IF(VLOOKUP($D44,'Apoio - Mat Coletivo e Equip'!$A:$D,4,FALSE)=0,"",VLOOKUP($D44,'Apoio - Mat Coletivo e Equip'!$A:$D,4,FALSE)),"")</f>
        <v/>
      </c>
      <c r="I44" s="774" t="str">
        <f>IFERROR(ROUND((IF(ISNUMBER(H44),H44*'Mão de Obra'!$D$12/12,1)*G44*F44)/'Mão de Obra'!$D$12,2),"")</f>
        <v/>
      </c>
      <c r="J44" s="774" t="str">
        <f>IFERROR(ROUND(I44*(1+
SUM(
IFERROR(SUMPRODUCT('Mão de Obra'!$E$169:$II$169,'Mão de Obra'!$E$29:$II$29),0),
IFERROR(SUMPRODUCT(Produtividade!$E$171:$II$171,Produtividade!$E$29:$II$29),0),
IFERROR(SUMPRODUCT(Veículos!$E$81:$II$81,Veículos!$E$4:$II$4),0)
)
/
Proposta!$J$62),2),"")</f>
        <v/>
      </c>
    </row>
    <row r="45" spans="2:10" s="42" customFormat="1">
      <c r="B45" s="250">
        <v>40</v>
      </c>
      <c r="C45" s="250"/>
      <c r="D45" s="386"/>
      <c r="E45" s="250" t="str">
        <f>IFERROR(VLOOKUP($D45,'Apoio - Mat Coletivo e Equip'!$A:$D,2,FALSE),"")</f>
        <v/>
      </c>
      <c r="F45" s="449"/>
      <c r="G45" s="743" t="str">
        <f>IFERROR(VLOOKUP($D45,'Apoio - Mat Coletivo e Equip'!$A:$D,3,FALSE),"")</f>
        <v/>
      </c>
      <c r="H45" s="742" t="str">
        <f>IFERROR(IF(VLOOKUP($D45,'Apoio - Mat Coletivo e Equip'!$A:$D,4,FALSE)=0,"",VLOOKUP($D45,'Apoio - Mat Coletivo e Equip'!$A:$D,4,FALSE)),"")</f>
        <v/>
      </c>
      <c r="I45" s="774" t="str">
        <f>IFERROR(ROUND((IF(ISNUMBER(H45),H45*'Mão de Obra'!$D$12/12,1)*G45*F45)/'Mão de Obra'!$D$12,2),"")</f>
        <v/>
      </c>
      <c r="J45" s="774" t="str">
        <f>IFERROR(ROUND(I45*(1+
SUM(
IFERROR(SUMPRODUCT('Mão de Obra'!$E$169:$II$169,'Mão de Obra'!$E$29:$II$29),0),
IFERROR(SUMPRODUCT(Produtividade!$E$171:$II$171,Produtividade!$E$29:$II$29),0),
IFERROR(SUMPRODUCT(Veículos!$E$81:$II$81,Veículos!$E$4:$II$4),0)
)
/
Proposta!$J$62),2),"")</f>
        <v/>
      </c>
    </row>
    <row r="46" spans="2:10" s="42" customFormat="1">
      <c r="B46" s="250">
        <v>41</v>
      </c>
      <c r="C46" s="250"/>
      <c r="D46" s="386"/>
      <c r="E46" s="250" t="str">
        <f>IFERROR(VLOOKUP($D46,'Apoio - Mat Coletivo e Equip'!$A:$D,2,FALSE),"")</f>
        <v/>
      </c>
      <c r="F46" s="449"/>
      <c r="G46" s="743" t="str">
        <f>IFERROR(VLOOKUP($D46,'Apoio - Mat Coletivo e Equip'!$A:$D,3,FALSE),"")</f>
        <v/>
      </c>
      <c r="H46" s="742" t="str">
        <f>IFERROR(IF(VLOOKUP($D46,'Apoio - Mat Coletivo e Equip'!$A:$D,4,FALSE)=0,"",VLOOKUP($D46,'Apoio - Mat Coletivo e Equip'!$A:$D,4,FALSE)),"")</f>
        <v/>
      </c>
      <c r="I46" s="774" t="str">
        <f>IFERROR(ROUND((IF(ISNUMBER(H46),H46*'Mão de Obra'!$D$12/12,1)*G46*F46)/'Mão de Obra'!$D$12,2),"")</f>
        <v/>
      </c>
      <c r="J46" s="774" t="str">
        <f>IFERROR(ROUND(I46*(1+
SUM(
IFERROR(SUMPRODUCT('Mão de Obra'!$E$169:$II$169,'Mão de Obra'!$E$29:$II$29),0),
IFERROR(SUMPRODUCT(Produtividade!$E$171:$II$171,Produtividade!$E$29:$II$29),0),
IFERROR(SUMPRODUCT(Veículos!$E$81:$II$81,Veículos!$E$4:$II$4),0)
)
/
Proposta!$J$62),2),"")</f>
        <v/>
      </c>
    </row>
    <row r="47" spans="2:10" s="42" customFormat="1">
      <c r="B47" s="250">
        <v>42</v>
      </c>
      <c r="C47" s="250"/>
      <c r="D47" s="386"/>
      <c r="E47" s="250" t="str">
        <f>IFERROR(VLOOKUP($D47,'Apoio - Mat Coletivo e Equip'!$A:$D,2,FALSE),"")</f>
        <v/>
      </c>
      <c r="F47" s="449"/>
      <c r="G47" s="743" t="str">
        <f>IFERROR(VLOOKUP($D47,'Apoio - Mat Coletivo e Equip'!$A:$D,3,FALSE),"")</f>
        <v/>
      </c>
      <c r="H47" s="742" t="str">
        <f>IFERROR(IF(VLOOKUP($D47,'Apoio - Mat Coletivo e Equip'!$A:$D,4,FALSE)=0,"",VLOOKUP($D47,'Apoio - Mat Coletivo e Equip'!$A:$D,4,FALSE)),"")</f>
        <v/>
      </c>
      <c r="I47" s="774" t="str">
        <f>IFERROR(ROUND((IF(ISNUMBER(H47),H47*'Mão de Obra'!$D$12/12,1)*G47*F47)/'Mão de Obra'!$D$12,2),"")</f>
        <v/>
      </c>
      <c r="J47" s="774" t="str">
        <f>IFERROR(ROUND(I47*(1+
SUM(
IFERROR(SUMPRODUCT('Mão de Obra'!$E$169:$II$169,'Mão de Obra'!$E$29:$II$29),0),
IFERROR(SUMPRODUCT(Produtividade!$E$171:$II$171,Produtividade!$E$29:$II$29),0),
IFERROR(SUMPRODUCT(Veículos!$E$81:$II$81,Veículos!$E$4:$II$4),0)
)
/
Proposta!$J$62),2),"")</f>
        <v/>
      </c>
    </row>
    <row r="48" spans="2:10" s="42" customFormat="1">
      <c r="B48" s="250">
        <v>43</v>
      </c>
      <c r="C48" s="250"/>
      <c r="D48" s="386"/>
      <c r="E48" s="250" t="str">
        <f>IFERROR(VLOOKUP($D48,'Apoio - Mat Coletivo e Equip'!$A:$D,2,FALSE),"")</f>
        <v/>
      </c>
      <c r="F48" s="449"/>
      <c r="G48" s="743" t="str">
        <f>IFERROR(VLOOKUP($D48,'Apoio - Mat Coletivo e Equip'!$A:$D,3,FALSE),"")</f>
        <v/>
      </c>
      <c r="H48" s="742" t="str">
        <f>IFERROR(IF(VLOOKUP($D48,'Apoio - Mat Coletivo e Equip'!$A:$D,4,FALSE)=0,"",VLOOKUP($D48,'Apoio - Mat Coletivo e Equip'!$A:$D,4,FALSE)),"")</f>
        <v/>
      </c>
      <c r="I48" s="774" t="str">
        <f>IFERROR(ROUND((IF(ISNUMBER(H48),H48*'Mão de Obra'!$D$12/12,1)*G48*F48)/'Mão de Obra'!$D$12,2),"")</f>
        <v/>
      </c>
      <c r="J48" s="774" t="str">
        <f>IFERROR(ROUND(I48*(1+
SUM(
IFERROR(SUMPRODUCT('Mão de Obra'!$E$169:$II$169,'Mão de Obra'!$E$29:$II$29),0),
IFERROR(SUMPRODUCT(Produtividade!$E$171:$II$171,Produtividade!$E$29:$II$29),0),
IFERROR(SUMPRODUCT(Veículos!$E$81:$II$81,Veículos!$E$4:$II$4),0)
)
/
Proposta!$J$62),2),"")</f>
        <v/>
      </c>
    </row>
    <row r="49" spans="2:10" s="42" customFormat="1">
      <c r="B49" s="250">
        <v>44</v>
      </c>
      <c r="C49" s="250"/>
      <c r="D49" s="386"/>
      <c r="E49" s="250" t="str">
        <f>IFERROR(VLOOKUP($D49,'Apoio - Mat Coletivo e Equip'!$A:$D,2,FALSE),"")</f>
        <v/>
      </c>
      <c r="F49" s="449"/>
      <c r="G49" s="743" t="str">
        <f>IFERROR(VLOOKUP($D49,'Apoio - Mat Coletivo e Equip'!$A:$D,3,FALSE),"")</f>
        <v/>
      </c>
      <c r="H49" s="742" t="str">
        <f>IFERROR(IF(VLOOKUP($D49,'Apoio - Mat Coletivo e Equip'!$A:$D,4,FALSE)=0,"",VLOOKUP($D49,'Apoio - Mat Coletivo e Equip'!$A:$D,4,FALSE)),"")</f>
        <v/>
      </c>
      <c r="I49" s="774" t="str">
        <f>IFERROR(ROUND((IF(ISNUMBER(H49),H49*'Mão de Obra'!$D$12/12,1)*G49*F49)/'Mão de Obra'!$D$12,2),"")</f>
        <v/>
      </c>
      <c r="J49" s="774" t="str">
        <f>IFERROR(ROUND(I49*(1+
SUM(
IFERROR(SUMPRODUCT('Mão de Obra'!$E$169:$II$169,'Mão de Obra'!$E$29:$II$29),0),
IFERROR(SUMPRODUCT(Produtividade!$E$171:$II$171,Produtividade!$E$29:$II$29),0),
IFERROR(SUMPRODUCT(Veículos!$E$81:$II$81,Veículos!$E$4:$II$4),0)
)
/
Proposta!$J$62),2),"")</f>
        <v/>
      </c>
    </row>
    <row r="50" spans="2:10" s="42" customFormat="1">
      <c r="B50" s="250">
        <v>45</v>
      </c>
      <c r="C50" s="250"/>
      <c r="D50" s="386"/>
      <c r="E50" s="250" t="str">
        <f>IFERROR(VLOOKUP($D50,'Apoio - Mat Coletivo e Equip'!$A:$D,2,FALSE),"")</f>
        <v/>
      </c>
      <c r="F50" s="449"/>
      <c r="G50" s="743" t="str">
        <f>IFERROR(VLOOKUP($D50,'Apoio - Mat Coletivo e Equip'!$A:$D,3,FALSE),"")</f>
        <v/>
      </c>
      <c r="H50" s="742" t="str">
        <f>IFERROR(IF(VLOOKUP($D50,'Apoio - Mat Coletivo e Equip'!$A:$D,4,FALSE)=0,"",VLOOKUP($D50,'Apoio - Mat Coletivo e Equip'!$A:$D,4,FALSE)),"")</f>
        <v/>
      </c>
      <c r="I50" s="774" t="str">
        <f>IFERROR(ROUND((IF(ISNUMBER(H50),H50*'Mão de Obra'!$D$12/12,1)*G50*F50)/'Mão de Obra'!$D$12,2),"")</f>
        <v/>
      </c>
      <c r="J50" s="774" t="str">
        <f>IFERROR(ROUND(I50*(1+
SUM(
IFERROR(SUMPRODUCT('Mão de Obra'!$E$169:$II$169,'Mão de Obra'!$E$29:$II$29),0),
IFERROR(SUMPRODUCT(Produtividade!$E$171:$II$171,Produtividade!$E$29:$II$29),0),
IFERROR(SUMPRODUCT(Veículos!$E$81:$II$81,Veículos!$E$4:$II$4),0)
)
/
Proposta!$J$62),2),"")</f>
        <v/>
      </c>
    </row>
    <row r="51" spans="2:10" s="42" customFormat="1">
      <c r="B51" s="250">
        <v>46</v>
      </c>
      <c r="C51" s="250"/>
      <c r="D51" s="386"/>
      <c r="E51" s="250" t="str">
        <f>IFERROR(VLOOKUP($D51,'Apoio - Mat Coletivo e Equip'!$A:$D,2,FALSE),"")</f>
        <v/>
      </c>
      <c r="F51" s="449"/>
      <c r="G51" s="743" t="str">
        <f>IFERROR(VLOOKUP($D51,'Apoio - Mat Coletivo e Equip'!$A:$D,3,FALSE),"")</f>
        <v/>
      </c>
      <c r="H51" s="742" t="str">
        <f>IFERROR(IF(VLOOKUP($D51,'Apoio - Mat Coletivo e Equip'!$A:$D,4,FALSE)=0,"",VLOOKUP($D51,'Apoio - Mat Coletivo e Equip'!$A:$D,4,FALSE)),"")</f>
        <v/>
      </c>
      <c r="I51" s="774" t="str">
        <f>IFERROR(ROUND((IF(ISNUMBER(H51),H51*'Mão de Obra'!$D$12/12,1)*G51*F51)/'Mão de Obra'!$D$12,2),"")</f>
        <v/>
      </c>
      <c r="J51" s="774" t="str">
        <f>IFERROR(ROUND(I51*(1+
SUM(
IFERROR(SUMPRODUCT('Mão de Obra'!$E$169:$II$169,'Mão de Obra'!$E$29:$II$29),0),
IFERROR(SUMPRODUCT(Produtividade!$E$171:$II$171,Produtividade!$E$29:$II$29),0),
IFERROR(SUMPRODUCT(Veículos!$E$81:$II$81,Veículos!$E$4:$II$4),0)
)
/
Proposta!$J$62),2),"")</f>
        <v/>
      </c>
    </row>
    <row r="52" spans="2:10" s="42" customFormat="1">
      <c r="B52" s="250">
        <v>47</v>
      </c>
      <c r="C52" s="250"/>
      <c r="D52" s="386"/>
      <c r="E52" s="250" t="str">
        <f>IFERROR(VLOOKUP($D52,'Apoio - Mat Coletivo e Equip'!$A:$D,2,FALSE),"")</f>
        <v/>
      </c>
      <c r="F52" s="449"/>
      <c r="G52" s="743" t="str">
        <f>IFERROR(VLOOKUP($D52,'Apoio - Mat Coletivo e Equip'!$A:$D,3,FALSE),"")</f>
        <v/>
      </c>
      <c r="H52" s="742" t="str">
        <f>IFERROR(IF(VLOOKUP($D52,'Apoio - Mat Coletivo e Equip'!$A:$D,4,FALSE)=0,"",VLOOKUP($D52,'Apoio - Mat Coletivo e Equip'!$A:$D,4,FALSE)),"")</f>
        <v/>
      </c>
      <c r="I52" s="774" t="str">
        <f>IFERROR(ROUND((IF(ISNUMBER(H52),H52*'Mão de Obra'!$D$12/12,1)*G52*F52)/'Mão de Obra'!$D$12,2),"")</f>
        <v/>
      </c>
      <c r="J52" s="774" t="str">
        <f>IFERROR(ROUND(I52*(1+
SUM(
IFERROR(SUMPRODUCT('Mão de Obra'!$E$169:$II$169,'Mão de Obra'!$E$29:$II$29),0),
IFERROR(SUMPRODUCT(Produtividade!$E$171:$II$171,Produtividade!$E$29:$II$29),0),
IFERROR(SUMPRODUCT(Veículos!$E$81:$II$81,Veículos!$E$4:$II$4),0)
)
/
Proposta!$J$62),2),"")</f>
        <v/>
      </c>
    </row>
    <row r="53" spans="2:10" s="42" customFormat="1">
      <c r="B53" s="250">
        <v>48</v>
      </c>
      <c r="C53" s="250"/>
      <c r="D53" s="386"/>
      <c r="E53" s="250" t="str">
        <f>IFERROR(VLOOKUP($D53,'Apoio - Mat Coletivo e Equip'!$A:$D,2,FALSE),"")</f>
        <v/>
      </c>
      <c r="F53" s="449"/>
      <c r="G53" s="743" t="str">
        <f>IFERROR(VLOOKUP($D53,'Apoio - Mat Coletivo e Equip'!$A:$D,3,FALSE),"")</f>
        <v/>
      </c>
      <c r="H53" s="742" t="str">
        <f>IFERROR(IF(VLOOKUP($D53,'Apoio - Mat Coletivo e Equip'!$A:$D,4,FALSE)=0,"",VLOOKUP($D53,'Apoio - Mat Coletivo e Equip'!$A:$D,4,FALSE)),"")</f>
        <v/>
      </c>
      <c r="I53" s="774" t="str">
        <f>IFERROR(ROUND((IF(ISNUMBER(H53),H53*'Mão de Obra'!$D$12/12,1)*G53*F53)/'Mão de Obra'!$D$12,2),"")</f>
        <v/>
      </c>
      <c r="J53" s="774" t="str">
        <f>IFERROR(ROUND(I53*(1+
SUM(
IFERROR(SUMPRODUCT('Mão de Obra'!$E$169:$II$169,'Mão de Obra'!$E$29:$II$29),0),
IFERROR(SUMPRODUCT(Produtividade!$E$171:$II$171,Produtividade!$E$29:$II$29),0),
IFERROR(SUMPRODUCT(Veículos!$E$81:$II$81,Veículos!$E$4:$II$4),0)
)
/
Proposta!$J$62),2),"")</f>
        <v/>
      </c>
    </row>
    <row r="54" spans="2:10" s="42" customFormat="1">
      <c r="B54" s="250">
        <v>49</v>
      </c>
      <c r="C54" s="250"/>
      <c r="D54" s="386"/>
      <c r="E54" s="250" t="str">
        <f>IFERROR(VLOOKUP($D54,'Apoio - Mat Coletivo e Equip'!$A:$D,2,FALSE),"")</f>
        <v/>
      </c>
      <c r="F54" s="449"/>
      <c r="G54" s="743" t="str">
        <f>IFERROR(VLOOKUP($D54,'Apoio - Mat Coletivo e Equip'!$A:$D,3,FALSE),"")</f>
        <v/>
      </c>
      <c r="H54" s="742" t="str">
        <f>IFERROR(IF(VLOOKUP($D54,'Apoio - Mat Coletivo e Equip'!$A:$D,4,FALSE)=0,"",VLOOKUP($D54,'Apoio - Mat Coletivo e Equip'!$A:$D,4,FALSE)),"")</f>
        <v/>
      </c>
      <c r="I54" s="774" t="str">
        <f>IFERROR(ROUND((IF(ISNUMBER(H54),H54*'Mão de Obra'!$D$12/12,1)*G54*F54)/'Mão de Obra'!$D$12,2),"")</f>
        <v/>
      </c>
      <c r="J54" s="774" t="str">
        <f>IFERROR(ROUND(I54*(1+
SUM(
IFERROR(SUMPRODUCT('Mão de Obra'!$E$169:$II$169,'Mão de Obra'!$E$29:$II$29),0),
IFERROR(SUMPRODUCT(Produtividade!$E$171:$II$171,Produtividade!$E$29:$II$29),0),
IFERROR(SUMPRODUCT(Veículos!$E$81:$II$81,Veículos!$E$4:$II$4),0)
)
/
Proposta!$J$62),2),"")</f>
        <v/>
      </c>
    </row>
    <row r="55" spans="2:10" s="42" customFormat="1">
      <c r="B55" s="250">
        <v>50</v>
      </c>
      <c r="C55" s="250"/>
      <c r="D55" s="386"/>
      <c r="E55" s="250" t="str">
        <f>IFERROR(VLOOKUP($D55,'Apoio - Mat Coletivo e Equip'!$A:$D,2,FALSE),"")</f>
        <v/>
      </c>
      <c r="F55" s="449"/>
      <c r="G55" s="743" t="str">
        <f>IFERROR(VLOOKUP($D55,'Apoio - Mat Coletivo e Equip'!$A:$D,3,FALSE),"")</f>
        <v/>
      </c>
      <c r="H55" s="742" t="str">
        <f>IFERROR(IF(VLOOKUP($D55,'Apoio - Mat Coletivo e Equip'!$A:$D,4,FALSE)=0,"",VLOOKUP($D55,'Apoio - Mat Coletivo e Equip'!$A:$D,4,FALSE)),"")</f>
        <v/>
      </c>
      <c r="I55" s="774" t="str">
        <f>IFERROR(ROUND((IF(ISNUMBER(H55),H55*'Mão de Obra'!$D$12/12,1)*G55*F55)/'Mão de Obra'!$D$12,2),"")</f>
        <v/>
      </c>
      <c r="J55" s="774" t="str">
        <f>IFERROR(ROUND(I55*(1+
SUM(
IFERROR(SUMPRODUCT('Mão de Obra'!$E$169:$II$169,'Mão de Obra'!$E$29:$II$29),0),
IFERROR(SUMPRODUCT(Produtividade!$E$171:$II$171,Produtividade!$E$29:$II$29),0),
IFERROR(SUMPRODUCT(Veículos!$E$81:$II$81,Veículos!$E$4:$II$4),0)
)
/
Proposta!$J$62),2),"")</f>
        <v/>
      </c>
    </row>
    <row r="56" spans="2:10" s="42" customFormat="1">
      <c r="B56" s="250">
        <v>51</v>
      </c>
      <c r="C56" s="250"/>
      <c r="D56" s="386"/>
      <c r="E56" s="250" t="str">
        <f>IFERROR(VLOOKUP($D56,'Apoio - Mat Coletivo e Equip'!$A:$D,2,FALSE),"")</f>
        <v/>
      </c>
      <c r="F56" s="449"/>
      <c r="G56" s="743" t="str">
        <f>IFERROR(VLOOKUP($D56,'Apoio - Mat Coletivo e Equip'!$A:$D,3,FALSE),"")</f>
        <v/>
      </c>
      <c r="H56" s="742" t="str">
        <f>IFERROR(IF(VLOOKUP($D56,'Apoio - Mat Coletivo e Equip'!$A:$D,4,FALSE)=0,"",VLOOKUP($D56,'Apoio - Mat Coletivo e Equip'!$A:$D,4,FALSE)),"")</f>
        <v/>
      </c>
      <c r="I56" s="774" t="str">
        <f>IFERROR(ROUND((IF(ISNUMBER(H56),H56*'Mão de Obra'!$D$12/12,1)*G56*F56)/'Mão de Obra'!$D$12,2),"")</f>
        <v/>
      </c>
      <c r="J56" s="774" t="str">
        <f>IFERROR(ROUND(I56*(1+
SUM(
IFERROR(SUMPRODUCT('Mão de Obra'!$E$169:$II$169,'Mão de Obra'!$E$29:$II$29),0),
IFERROR(SUMPRODUCT(Produtividade!$E$171:$II$171,Produtividade!$E$29:$II$29),0),
IFERROR(SUMPRODUCT(Veículos!$E$81:$II$81,Veículos!$E$4:$II$4),0)
)
/
Proposta!$J$62),2),"")</f>
        <v/>
      </c>
    </row>
    <row r="57" spans="2:10" s="42" customFormat="1">
      <c r="B57" s="250">
        <v>52</v>
      </c>
      <c r="C57" s="250"/>
      <c r="D57" s="386"/>
      <c r="E57" s="250" t="str">
        <f>IFERROR(VLOOKUP($D57,'Apoio - Mat Coletivo e Equip'!$A:$D,2,FALSE),"")</f>
        <v/>
      </c>
      <c r="F57" s="449"/>
      <c r="G57" s="743" t="str">
        <f>IFERROR(VLOOKUP($D57,'Apoio - Mat Coletivo e Equip'!$A:$D,3,FALSE),"")</f>
        <v/>
      </c>
      <c r="H57" s="742" t="str">
        <f>IFERROR(IF(VLOOKUP($D57,'Apoio - Mat Coletivo e Equip'!$A:$D,4,FALSE)=0,"",VLOOKUP($D57,'Apoio - Mat Coletivo e Equip'!$A:$D,4,FALSE)),"")</f>
        <v/>
      </c>
      <c r="I57" s="774" t="str">
        <f>IFERROR(ROUND((IF(ISNUMBER(H57),H57*'Mão de Obra'!$D$12/12,1)*G57*F57)/'Mão de Obra'!$D$12,2),"")</f>
        <v/>
      </c>
      <c r="J57" s="774" t="str">
        <f>IFERROR(ROUND(I57*(1+
SUM(
IFERROR(SUMPRODUCT('Mão de Obra'!$E$169:$II$169,'Mão de Obra'!$E$29:$II$29),0),
IFERROR(SUMPRODUCT(Produtividade!$E$171:$II$171,Produtividade!$E$29:$II$29),0),
IFERROR(SUMPRODUCT(Veículos!$E$81:$II$81,Veículos!$E$4:$II$4),0)
)
/
Proposta!$J$62),2),"")</f>
        <v/>
      </c>
    </row>
    <row r="58" spans="2:10" s="42" customFormat="1">
      <c r="B58" s="250">
        <v>53</v>
      </c>
      <c r="C58" s="250"/>
      <c r="D58" s="386"/>
      <c r="E58" s="250" t="str">
        <f>IFERROR(VLOOKUP($D58,'Apoio - Mat Coletivo e Equip'!$A:$D,2,FALSE),"")</f>
        <v/>
      </c>
      <c r="F58" s="449"/>
      <c r="G58" s="743" t="str">
        <f>IFERROR(VLOOKUP($D58,'Apoio - Mat Coletivo e Equip'!$A:$D,3,FALSE),"")</f>
        <v/>
      </c>
      <c r="H58" s="742" t="str">
        <f>IFERROR(IF(VLOOKUP($D58,'Apoio - Mat Coletivo e Equip'!$A:$D,4,FALSE)=0,"",VLOOKUP($D58,'Apoio - Mat Coletivo e Equip'!$A:$D,4,FALSE)),"")</f>
        <v/>
      </c>
      <c r="I58" s="774" t="str">
        <f>IFERROR(ROUND((IF(ISNUMBER(H58),H58*'Mão de Obra'!$D$12/12,1)*G58*F58)/'Mão de Obra'!$D$12,2),"")</f>
        <v/>
      </c>
      <c r="J58" s="774" t="str">
        <f>IFERROR(ROUND(I58*(1+
SUM(
IFERROR(SUMPRODUCT('Mão de Obra'!$E$169:$II$169,'Mão de Obra'!$E$29:$II$29),0),
IFERROR(SUMPRODUCT(Produtividade!$E$171:$II$171,Produtividade!$E$29:$II$29),0),
IFERROR(SUMPRODUCT(Veículos!$E$81:$II$81,Veículos!$E$4:$II$4),0)
)
/
Proposta!$J$62),2),"")</f>
        <v/>
      </c>
    </row>
    <row r="59" spans="2:10" s="42" customFormat="1">
      <c r="B59" s="250">
        <v>54</v>
      </c>
      <c r="C59" s="250"/>
      <c r="D59" s="386"/>
      <c r="E59" s="250" t="str">
        <f>IFERROR(VLOOKUP($D59,'Apoio - Mat Coletivo e Equip'!$A:$D,2,FALSE),"")</f>
        <v/>
      </c>
      <c r="F59" s="449"/>
      <c r="G59" s="743" t="str">
        <f>IFERROR(VLOOKUP($D59,'Apoio - Mat Coletivo e Equip'!$A:$D,3,FALSE),"")</f>
        <v/>
      </c>
      <c r="H59" s="742" t="str">
        <f>IFERROR(IF(VLOOKUP($D59,'Apoio - Mat Coletivo e Equip'!$A:$D,4,FALSE)=0,"",VLOOKUP($D59,'Apoio - Mat Coletivo e Equip'!$A:$D,4,FALSE)),"")</f>
        <v/>
      </c>
      <c r="I59" s="774" t="str">
        <f>IFERROR(ROUND((IF(ISNUMBER(H59),H59*'Mão de Obra'!$D$12/12,1)*G59*F59)/'Mão de Obra'!$D$12,2),"")</f>
        <v/>
      </c>
      <c r="J59" s="774" t="str">
        <f>IFERROR(ROUND(I59*(1+
SUM(
IFERROR(SUMPRODUCT('Mão de Obra'!$E$169:$II$169,'Mão de Obra'!$E$29:$II$29),0),
IFERROR(SUMPRODUCT(Produtividade!$E$171:$II$171,Produtividade!$E$29:$II$29),0),
IFERROR(SUMPRODUCT(Veículos!$E$81:$II$81,Veículos!$E$4:$II$4),0)
)
/
Proposta!$J$62),2),"")</f>
        <v/>
      </c>
    </row>
    <row r="60" spans="2:10" s="42" customFormat="1">
      <c r="B60" s="250">
        <v>55</v>
      </c>
      <c r="C60" s="250"/>
      <c r="D60" s="386"/>
      <c r="E60" s="250" t="str">
        <f>IFERROR(VLOOKUP($D60,'Apoio - Mat Coletivo e Equip'!$A:$D,2,FALSE),"")</f>
        <v/>
      </c>
      <c r="F60" s="449"/>
      <c r="G60" s="743" t="str">
        <f>IFERROR(VLOOKUP($D60,'Apoio - Mat Coletivo e Equip'!$A:$D,3,FALSE),"")</f>
        <v/>
      </c>
      <c r="H60" s="742" t="str">
        <f>IFERROR(IF(VLOOKUP($D60,'Apoio - Mat Coletivo e Equip'!$A:$D,4,FALSE)=0,"",VLOOKUP($D60,'Apoio - Mat Coletivo e Equip'!$A:$D,4,FALSE)),"")</f>
        <v/>
      </c>
      <c r="I60" s="774" t="str">
        <f>IFERROR(ROUND((IF(ISNUMBER(H60),H60*'Mão de Obra'!$D$12/12,1)*G60*F60)/'Mão de Obra'!$D$12,2),"")</f>
        <v/>
      </c>
      <c r="J60" s="774" t="str">
        <f>IFERROR(ROUND(I60*(1+
SUM(
IFERROR(SUMPRODUCT('Mão de Obra'!$E$169:$II$169,'Mão de Obra'!$E$29:$II$29),0),
IFERROR(SUMPRODUCT(Produtividade!$E$171:$II$171,Produtividade!$E$29:$II$29),0),
IFERROR(SUMPRODUCT(Veículos!$E$81:$II$81,Veículos!$E$4:$II$4),0)
)
/
Proposta!$J$62),2),"")</f>
        <v/>
      </c>
    </row>
    <row r="61" spans="2:10" s="42" customFormat="1">
      <c r="B61" s="250">
        <v>56</v>
      </c>
      <c r="C61" s="250"/>
      <c r="D61" s="386"/>
      <c r="E61" s="250" t="str">
        <f>IFERROR(VLOOKUP($D61,'Apoio - Mat Coletivo e Equip'!$A:$D,2,FALSE),"")</f>
        <v/>
      </c>
      <c r="F61" s="449"/>
      <c r="G61" s="743" t="str">
        <f>IFERROR(VLOOKUP($D61,'Apoio - Mat Coletivo e Equip'!$A:$D,3,FALSE),"")</f>
        <v/>
      </c>
      <c r="H61" s="742" t="str">
        <f>IFERROR(IF(VLOOKUP($D61,'Apoio - Mat Coletivo e Equip'!$A:$D,4,FALSE)=0,"",VLOOKUP($D61,'Apoio - Mat Coletivo e Equip'!$A:$D,4,FALSE)),"")</f>
        <v/>
      </c>
      <c r="I61" s="774" t="str">
        <f>IFERROR(ROUND((IF(ISNUMBER(H61),H61*'Mão de Obra'!$D$12/12,1)*G61*F61)/'Mão de Obra'!$D$12,2),"")</f>
        <v/>
      </c>
      <c r="J61" s="774" t="str">
        <f>IFERROR(ROUND(I61*(1+
SUM(
IFERROR(SUMPRODUCT('Mão de Obra'!$E$169:$II$169,'Mão de Obra'!$E$29:$II$29),0),
IFERROR(SUMPRODUCT(Produtividade!$E$171:$II$171,Produtividade!$E$29:$II$29),0),
IFERROR(SUMPRODUCT(Veículos!$E$81:$II$81,Veículos!$E$4:$II$4),0)
)
/
Proposta!$J$62),2),"")</f>
        <v/>
      </c>
    </row>
    <row r="62" spans="2:10" s="42" customFormat="1">
      <c r="B62" s="250">
        <v>57</v>
      </c>
      <c r="C62" s="250"/>
      <c r="D62" s="386"/>
      <c r="E62" s="250" t="str">
        <f>IFERROR(VLOOKUP($D62,'Apoio - Mat Coletivo e Equip'!$A:$D,2,FALSE),"")</f>
        <v/>
      </c>
      <c r="F62" s="449"/>
      <c r="G62" s="743" t="str">
        <f>IFERROR(VLOOKUP($D62,'Apoio - Mat Coletivo e Equip'!$A:$D,3,FALSE),"")</f>
        <v/>
      </c>
      <c r="H62" s="742" t="str">
        <f>IFERROR(IF(VLOOKUP($D62,'Apoio - Mat Coletivo e Equip'!$A:$D,4,FALSE)=0,"",VLOOKUP($D62,'Apoio - Mat Coletivo e Equip'!$A:$D,4,FALSE)),"")</f>
        <v/>
      </c>
      <c r="I62" s="774" t="str">
        <f>IFERROR(ROUND((IF(ISNUMBER(H62),H62*'Mão de Obra'!$D$12/12,1)*G62*F62)/'Mão de Obra'!$D$12,2),"")</f>
        <v/>
      </c>
      <c r="J62" s="774" t="str">
        <f>IFERROR(ROUND(I62*(1+
SUM(
IFERROR(SUMPRODUCT('Mão de Obra'!$E$169:$II$169,'Mão de Obra'!$E$29:$II$29),0),
IFERROR(SUMPRODUCT(Produtividade!$E$171:$II$171,Produtividade!$E$29:$II$29),0),
IFERROR(SUMPRODUCT(Veículos!$E$81:$II$81,Veículos!$E$4:$II$4),0)
)
/
Proposta!$J$62),2),"")</f>
        <v/>
      </c>
    </row>
    <row r="63" spans="2:10" s="42" customFormat="1">
      <c r="B63" s="250">
        <v>58</v>
      </c>
      <c r="C63" s="250"/>
      <c r="D63" s="386"/>
      <c r="E63" s="250" t="str">
        <f>IFERROR(VLOOKUP($D63,'Apoio - Mat Coletivo e Equip'!$A:$D,2,FALSE),"")</f>
        <v/>
      </c>
      <c r="F63" s="449"/>
      <c r="G63" s="743" t="str">
        <f>IFERROR(VLOOKUP($D63,'Apoio - Mat Coletivo e Equip'!$A:$D,3,FALSE),"")</f>
        <v/>
      </c>
      <c r="H63" s="742" t="str">
        <f>IFERROR(IF(VLOOKUP($D63,'Apoio - Mat Coletivo e Equip'!$A:$D,4,FALSE)=0,"",VLOOKUP($D63,'Apoio - Mat Coletivo e Equip'!$A:$D,4,FALSE)),"")</f>
        <v/>
      </c>
      <c r="I63" s="774" t="str">
        <f>IFERROR(ROUND((IF(ISNUMBER(H63),H63*'Mão de Obra'!$D$12/12,1)*G63*F63)/'Mão de Obra'!$D$12,2),"")</f>
        <v/>
      </c>
      <c r="J63" s="774" t="str">
        <f>IFERROR(ROUND(I63*(1+
SUM(
IFERROR(SUMPRODUCT('Mão de Obra'!$E$169:$II$169,'Mão de Obra'!$E$29:$II$29),0),
IFERROR(SUMPRODUCT(Produtividade!$E$171:$II$171,Produtividade!$E$29:$II$29),0),
IFERROR(SUMPRODUCT(Veículos!$E$81:$II$81,Veículos!$E$4:$II$4),0)
)
/
Proposta!$J$62),2),"")</f>
        <v/>
      </c>
    </row>
    <row r="64" spans="2:10" s="42" customFormat="1">
      <c r="B64" s="250">
        <v>59</v>
      </c>
      <c r="C64" s="250"/>
      <c r="D64" s="386"/>
      <c r="E64" s="250" t="str">
        <f>IFERROR(VLOOKUP($D64,'Apoio - Mat Coletivo e Equip'!$A:$D,2,FALSE),"")</f>
        <v/>
      </c>
      <c r="F64" s="449"/>
      <c r="G64" s="743" t="str">
        <f>IFERROR(VLOOKUP($D64,'Apoio - Mat Coletivo e Equip'!$A:$D,3,FALSE),"")</f>
        <v/>
      </c>
      <c r="H64" s="742" t="str">
        <f>IFERROR(IF(VLOOKUP($D64,'Apoio - Mat Coletivo e Equip'!$A:$D,4,FALSE)=0,"",VLOOKUP($D64,'Apoio - Mat Coletivo e Equip'!$A:$D,4,FALSE)),"")</f>
        <v/>
      </c>
      <c r="I64" s="774" t="str">
        <f>IFERROR(ROUND((IF(ISNUMBER(H64),H64*'Mão de Obra'!$D$12/12,1)*G64*F64)/'Mão de Obra'!$D$12,2),"")</f>
        <v/>
      </c>
      <c r="J64" s="774" t="str">
        <f>IFERROR(ROUND(I64*(1+
SUM(
IFERROR(SUMPRODUCT('Mão de Obra'!$E$169:$II$169,'Mão de Obra'!$E$29:$II$29),0),
IFERROR(SUMPRODUCT(Produtividade!$E$171:$II$171,Produtividade!$E$29:$II$29),0),
IFERROR(SUMPRODUCT(Veículos!$E$81:$II$81,Veículos!$E$4:$II$4),0)
)
/
Proposta!$J$62),2),"")</f>
        <v/>
      </c>
    </row>
    <row r="65" spans="2:10" s="42" customFormat="1">
      <c r="B65" s="250">
        <v>60</v>
      </c>
      <c r="C65" s="250"/>
      <c r="D65" s="386"/>
      <c r="E65" s="250" t="str">
        <f>IFERROR(VLOOKUP($D65,'Apoio - Mat Coletivo e Equip'!$A:$D,2,FALSE),"")</f>
        <v/>
      </c>
      <c r="F65" s="449"/>
      <c r="G65" s="743" t="str">
        <f>IFERROR(VLOOKUP($D65,'Apoio - Mat Coletivo e Equip'!$A:$D,3,FALSE),"")</f>
        <v/>
      </c>
      <c r="H65" s="742" t="str">
        <f>IFERROR(IF(VLOOKUP($D65,'Apoio - Mat Coletivo e Equip'!$A:$D,4,FALSE)=0,"",VLOOKUP($D65,'Apoio - Mat Coletivo e Equip'!$A:$D,4,FALSE)),"")</f>
        <v/>
      </c>
      <c r="I65" s="774" t="str">
        <f>IFERROR(ROUND((IF(ISNUMBER(H65),H65*'Mão de Obra'!$D$12/12,1)*G65*F65)/'Mão de Obra'!$D$12,2),"")</f>
        <v/>
      </c>
      <c r="J65" s="774" t="str">
        <f>IFERROR(ROUND(I65*(1+
SUM(
IFERROR(SUMPRODUCT('Mão de Obra'!$E$169:$II$169,'Mão de Obra'!$E$29:$II$29),0),
IFERROR(SUMPRODUCT(Produtividade!$E$171:$II$171,Produtividade!$E$29:$II$29),0),
IFERROR(SUMPRODUCT(Veículos!$E$81:$II$81,Veículos!$E$4:$II$4),0)
)
/
Proposta!$J$62),2),"")</f>
        <v/>
      </c>
    </row>
    <row r="66" spans="2:10" s="42" customFormat="1">
      <c r="B66" s="250">
        <v>61</v>
      </c>
      <c r="C66" s="250"/>
      <c r="D66" s="386"/>
      <c r="E66" s="250" t="str">
        <f>IFERROR(VLOOKUP($D66,'Apoio - Mat Coletivo e Equip'!$A:$D,2,FALSE),"")</f>
        <v/>
      </c>
      <c r="F66" s="449"/>
      <c r="G66" s="743" t="str">
        <f>IFERROR(VLOOKUP($D66,'Apoio - Mat Coletivo e Equip'!$A:$D,3,FALSE),"")</f>
        <v/>
      </c>
      <c r="H66" s="742" t="str">
        <f>IFERROR(IF(VLOOKUP($D66,'Apoio - Mat Coletivo e Equip'!$A:$D,4,FALSE)=0,"",VLOOKUP($D66,'Apoio - Mat Coletivo e Equip'!$A:$D,4,FALSE)),"")</f>
        <v/>
      </c>
      <c r="I66" s="774" t="str">
        <f>IFERROR(ROUND((IF(ISNUMBER(H66),H66*'Mão de Obra'!$D$12/12,1)*G66*F66)/'Mão de Obra'!$D$12,2),"")</f>
        <v/>
      </c>
      <c r="J66" s="774" t="str">
        <f>IFERROR(ROUND(I66*(1+
SUM(
IFERROR(SUMPRODUCT('Mão de Obra'!$E$169:$II$169,'Mão de Obra'!$E$29:$II$29),0),
IFERROR(SUMPRODUCT(Produtividade!$E$171:$II$171,Produtividade!$E$29:$II$29),0),
IFERROR(SUMPRODUCT(Veículos!$E$81:$II$81,Veículos!$E$4:$II$4),0)
)
/
Proposta!$J$62),2),"")</f>
        <v/>
      </c>
    </row>
    <row r="67" spans="2:10" s="42" customFormat="1">
      <c r="B67" s="250">
        <v>62</v>
      </c>
      <c r="C67" s="250"/>
      <c r="D67" s="386"/>
      <c r="E67" s="250" t="str">
        <f>IFERROR(VLOOKUP($D67,'Apoio - Mat Coletivo e Equip'!$A:$D,2,FALSE),"")</f>
        <v/>
      </c>
      <c r="F67" s="449"/>
      <c r="G67" s="743" t="str">
        <f>IFERROR(VLOOKUP($D67,'Apoio - Mat Coletivo e Equip'!$A:$D,3,FALSE),"")</f>
        <v/>
      </c>
      <c r="H67" s="742" t="str">
        <f>IFERROR(IF(VLOOKUP($D67,'Apoio - Mat Coletivo e Equip'!$A:$D,4,FALSE)=0,"",VLOOKUP($D67,'Apoio - Mat Coletivo e Equip'!$A:$D,4,FALSE)),"")</f>
        <v/>
      </c>
      <c r="I67" s="774" t="str">
        <f>IFERROR(ROUND((IF(ISNUMBER(H67),H67*'Mão de Obra'!$D$12/12,1)*G67*F67)/'Mão de Obra'!$D$12,2),"")</f>
        <v/>
      </c>
      <c r="J67" s="774" t="str">
        <f>IFERROR(ROUND(I67*(1+
SUM(
IFERROR(SUMPRODUCT('Mão de Obra'!$E$169:$II$169,'Mão de Obra'!$E$29:$II$29),0),
IFERROR(SUMPRODUCT(Produtividade!$E$171:$II$171,Produtividade!$E$29:$II$29),0),
IFERROR(SUMPRODUCT(Veículos!$E$81:$II$81,Veículos!$E$4:$II$4),0)
)
/
Proposta!$J$62),2),"")</f>
        <v/>
      </c>
    </row>
    <row r="68" spans="2:10" s="42" customFormat="1">
      <c r="B68" s="250">
        <v>63</v>
      </c>
      <c r="C68" s="250"/>
      <c r="D68" s="386"/>
      <c r="E68" s="250" t="str">
        <f>IFERROR(VLOOKUP($D68,'Apoio - Mat Coletivo e Equip'!$A:$D,2,FALSE),"")</f>
        <v/>
      </c>
      <c r="F68" s="449"/>
      <c r="G68" s="743" t="str">
        <f>IFERROR(VLOOKUP($D68,'Apoio - Mat Coletivo e Equip'!$A:$D,3,FALSE),"")</f>
        <v/>
      </c>
      <c r="H68" s="742" t="str">
        <f>IFERROR(IF(VLOOKUP($D68,'Apoio - Mat Coletivo e Equip'!$A:$D,4,FALSE)=0,"",VLOOKUP($D68,'Apoio - Mat Coletivo e Equip'!$A:$D,4,FALSE)),"")</f>
        <v/>
      </c>
      <c r="I68" s="774" t="str">
        <f>IFERROR(ROUND((IF(ISNUMBER(H68),H68*'Mão de Obra'!$D$12/12,1)*G68*F68)/'Mão de Obra'!$D$12,2),"")</f>
        <v/>
      </c>
      <c r="J68" s="774" t="str">
        <f>IFERROR(ROUND(I68*(1+
SUM(
IFERROR(SUMPRODUCT('Mão de Obra'!$E$169:$II$169,'Mão de Obra'!$E$29:$II$29),0),
IFERROR(SUMPRODUCT(Produtividade!$E$171:$II$171,Produtividade!$E$29:$II$29),0),
IFERROR(SUMPRODUCT(Veículos!$E$81:$II$81,Veículos!$E$4:$II$4),0)
)
/
Proposta!$J$62),2),"")</f>
        <v/>
      </c>
    </row>
    <row r="69" spans="2:10" s="42" customFormat="1">
      <c r="B69" s="250">
        <v>64</v>
      </c>
      <c r="C69" s="250"/>
      <c r="D69" s="386"/>
      <c r="E69" s="250" t="str">
        <f>IFERROR(VLOOKUP($D69,'Apoio - Mat Coletivo e Equip'!$A:$D,2,FALSE),"")</f>
        <v/>
      </c>
      <c r="F69" s="449"/>
      <c r="G69" s="743" t="str">
        <f>IFERROR(VLOOKUP($D69,'Apoio - Mat Coletivo e Equip'!$A:$D,3,FALSE),"")</f>
        <v/>
      </c>
      <c r="H69" s="742" t="str">
        <f>IFERROR(IF(VLOOKUP($D69,'Apoio - Mat Coletivo e Equip'!$A:$D,4,FALSE)=0,"",VLOOKUP($D69,'Apoio - Mat Coletivo e Equip'!$A:$D,4,FALSE)),"")</f>
        <v/>
      </c>
      <c r="I69" s="774" t="str">
        <f>IFERROR(ROUND((IF(ISNUMBER(H69),H69*'Mão de Obra'!$D$12/12,1)*G69*F69)/'Mão de Obra'!$D$12,2),"")</f>
        <v/>
      </c>
      <c r="J69" s="774" t="str">
        <f>IFERROR(ROUND(I69*(1+
SUM(
IFERROR(SUMPRODUCT('Mão de Obra'!$E$169:$II$169,'Mão de Obra'!$E$29:$II$29),0),
IFERROR(SUMPRODUCT(Produtividade!$E$171:$II$171,Produtividade!$E$29:$II$29),0),
IFERROR(SUMPRODUCT(Veículos!$E$81:$II$81,Veículos!$E$4:$II$4),0)
)
/
Proposta!$J$62),2),"")</f>
        <v/>
      </c>
    </row>
    <row r="70" spans="2:10" s="42" customFormat="1">
      <c r="B70" s="250">
        <v>65</v>
      </c>
      <c r="C70" s="250"/>
      <c r="D70" s="386"/>
      <c r="E70" s="250" t="str">
        <f>IFERROR(VLOOKUP($D70,'Apoio - Mat Coletivo e Equip'!$A:$D,2,FALSE),"")</f>
        <v/>
      </c>
      <c r="F70" s="449"/>
      <c r="G70" s="743" t="str">
        <f>IFERROR(VLOOKUP($D70,'Apoio - Mat Coletivo e Equip'!$A:$D,3,FALSE),"")</f>
        <v/>
      </c>
      <c r="H70" s="742" t="str">
        <f>IFERROR(IF(VLOOKUP($D70,'Apoio - Mat Coletivo e Equip'!$A:$D,4,FALSE)=0,"",VLOOKUP($D70,'Apoio - Mat Coletivo e Equip'!$A:$D,4,FALSE)),"")</f>
        <v/>
      </c>
      <c r="I70" s="774" t="str">
        <f>IFERROR(ROUND((IF(ISNUMBER(H70),H70*'Mão de Obra'!$D$12/12,1)*G70*F70)/'Mão de Obra'!$D$12,2),"")</f>
        <v/>
      </c>
      <c r="J70" s="774" t="str">
        <f>IFERROR(ROUND(I70*(1+
SUM(
IFERROR(SUMPRODUCT('Mão de Obra'!$E$169:$II$169,'Mão de Obra'!$E$29:$II$29),0),
IFERROR(SUMPRODUCT(Produtividade!$E$171:$II$171,Produtividade!$E$29:$II$29),0),
IFERROR(SUMPRODUCT(Veículos!$E$81:$II$81,Veículos!$E$4:$II$4),0)
)
/
Proposta!$J$62),2),"")</f>
        <v/>
      </c>
    </row>
    <row r="71" spans="2:10" s="42" customFormat="1">
      <c r="B71" s="250">
        <v>66</v>
      </c>
      <c r="C71" s="250"/>
      <c r="D71" s="386"/>
      <c r="E71" s="250" t="str">
        <f>IFERROR(VLOOKUP($D71,'Apoio - Mat Coletivo e Equip'!$A:$D,2,FALSE),"")</f>
        <v/>
      </c>
      <c r="F71" s="449"/>
      <c r="G71" s="743" t="str">
        <f>IFERROR(VLOOKUP($D71,'Apoio - Mat Coletivo e Equip'!$A:$D,3,FALSE),"")</f>
        <v/>
      </c>
      <c r="H71" s="742" t="str">
        <f>IFERROR(IF(VLOOKUP($D71,'Apoio - Mat Coletivo e Equip'!$A:$D,4,FALSE)=0,"",VLOOKUP($D71,'Apoio - Mat Coletivo e Equip'!$A:$D,4,FALSE)),"")</f>
        <v/>
      </c>
      <c r="I71" s="774" t="str">
        <f>IFERROR(ROUND((IF(ISNUMBER(H71),H71*'Mão de Obra'!$D$12/12,1)*G71*F71)/'Mão de Obra'!$D$12,2),"")</f>
        <v/>
      </c>
      <c r="J71" s="774" t="str">
        <f>IFERROR(ROUND(I71*(1+
SUM(
IFERROR(SUMPRODUCT('Mão de Obra'!$E$169:$II$169,'Mão de Obra'!$E$29:$II$29),0),
IFERROR(SUMPRODUCT(Produtividade!$E$171:$II$171,Produtividade!$E$29:$II$29),0),
IFERROR(SUMPRODUCT(Veículos!$E$81:$II$81,Veículos!$E$4:$II$4),0)
)
/
Proposta!$J$62),2),"")</f>
        <v/>
      </c>
    </row>
    <row r="72" spans="2:10" s="42" customFormat="1">
      <c r="B72" s="250">
        <v>67</v>
      </c>
      <c r="C72" s="250"/>
      <c r="D72" s="386"/>
      <c r="E72" s="250" t="str">
        <f>IFERROR(VLOOKUP($D72,'Apoio - Mat Coletivo e Equip'!$A:$D,2,FALSE),"")</f>
        <v/>
      </c>
      <c r="F72" s="449"/>
      <c r="G72" s="743" t="str">
        <f>IFERROR(VLOOKUP($D72,'Apoio - Mat Coletivo e Equip'!$A:$D,3,FALSE),"")</f>
        <v/>
      </c>
      <c r="H72" s="742" t="str">
        <f>IFERROR(IF(VLOOKUP($D72,'Apoio - Mat Coletivo e Equip'!$A:$D,4,FALSE)=0,"",VLOOKUP($D72,'Apoio - Mat Coletivo e Equip'!$A:$D,4,FALSE)),"")</f>
        <v/>
      </c>
      <c r="I72" s="774" t="str">
        <f>IFERROR(ROUND((IF(ISNUMBER(H72),H72*'Mão de Obra'!$D$12/12,1)*G72*F72)/'Mão de Obra'!$D$12,2),"")</f>
        <v/>
      </c>
      <c r="J72" s="774" t="str">
        <f>IFERROR(ROUND(I72*(1+
SUM(
IFERROR(SUMPRODUCT('Mão de Obra'!$E$169:$II$169,'Mão de Obra'!$E$29:$II$29),0),
IFERROR(SUMPRODUCT(Produtividade!$E$171:$II$171,Produtividade!$E$29:$II$29),0),
IFERROR(SUMPRODUCT(Veículos!$E$81:$II$81,Veículos!$E$4:$II$4),0)
)
/
Proposta!$J$62),2),"")</f>
        <v/>
      </c>
    </row>
    <row r="73" spans="2:10" s="42" customFormat="1">
      <c r="B73" s="250">
        <v>68</v>
      </c>
      <c r="C73" s="250"/>
      <c r="D73" s="386"/>
      <c r="E73" s="250" t="str">
        <f>IFERROR(VLOOKUP($D73,'Apoio - Mat Coletivo e Equip'!$A:$D,2,FALSE),"")</f>
        <v/>
      </c>
      <c r="F73" s="449"/>
      <c r="G73" s="743" t="str">
        <f>IFERROR(VLOOKUP($D73,'Apoio - Mat Coletivo e Equip'!$A:$D,3,FALSE),"")</f>
        <v/>
      </c>
      <c r="H73" s="742" t="str">
        <f>IFERROR(IF(VLOOKUP($D73,'Apoio - Mat Coletivo e Equip'!$A:$D,4,FALSE)=0,"",VLOOKUP($D73,'Apoio - Mat Coletivo e Equip'!$A:$D,4,FALSE)),"")</f>
        <v/>
      </c>
      <c r="I73" s="774" t="str">
        <f>IFERROR(ROUND((IF(ISNUMBER(H73),H73*'Mão de Obra'!$D$12/12,1)*G73*F73)/'Mão de Obra'!$D$12,2),"")</f>
        <v/>
      </c>
      <c r="J73" s="774" t="str">
        <f>IFERROR(ROUND(I73*(1+
SUM(
IFERROR(SUMPRODUCT('Mão de Obra'!$E$169:$II$169,'Mão de Obra'!$E$29:$II$29),0),
IFERROR(SUMPRODUCT(Produtividade!$E$171:$II$171,Produtividade!$E$29:$II$29),0),
IFERROR(SUMPRODUCT(Veículos!$E$81:$II$81,Veículos!$E$4:$II$4),0)
)
/
Proposta!$J$62),2),"")</f>
        <v/>
      </c>
    </row>
    <row r="74" spans="2:10" s="42" customFormat="1">
      <c r="B74" s="250">
        <v>69</v>
      </c>
      <c r="C74" s="250"/>
      <c r="D74" s="386"/>
      <c r="E74" s="250" t="str">
        <f>IFERROR(VLOOKUP($D74,'Apoio - Mat Coletivo e Equip'!$A:$D,2,FALSE),"")</f>
        <v/>
      </c>
      <c r="F74" s="449"/>
      <c r="G74" s="743" t="str">
        <f>IFERROR(VLOOKUP($D74,'Apoio - Mat Coletivo e Equip'!$A:$D,3,FALSE),"")</f>
        <v/>
      </c>
      <c r="H74" s="742" t="str">
        <f>IFERROR(IF(VLOOKUP($D74,'Apoio - Mat Coletivo e Equip'!$A:$D,4,FALSE)=0,"",VLOOKUP($D74,'Apoio - Mat Coletivo e Equip'!$A:$D,4,FALSE)),"")</f>
        <v/>
      </c>
      <c r="I74" s="774" t="str">
        <f>IFERROR(ROUND((IF(ISNUMBER(H74),H74*'Mão de Obra'!$D$12/12,1)*G74*F74)/'Mão de Obra'!$D$12,2),"")</f>
        <v/>
      </c>
      <c r="J74" s="774" t="str">
        <f>IFERROR(ROUND(I74*(1+
SUM(
IFERROR(SUMPRODUCT('Mão de Obra'!$E$169:$II$169,'Mão de Obra'!$E$29:$II$29),0),
IFERROR(SUMPRODUCT(Produtividade!$E$171:$II$171,Produtividade!$E$29:$II$29),0),
IFERROR(SUMPRODUCT(Veículos!$E$81:$II$81,Veículos!$E$4:$II$4),0)
)
/
Proposta!$J$62),2),"")</f>
        <v/>
      </c>
    </row>
    <row r="75" spans="2:10" s="42" customFormat="1">
      <c r="B75" s="250">
        <v>70</v>
      </c>
      <c r="C75" s="250"/>
      <c r="D75" s="386"/>
      <c r="E75" s="250" t="str">
        <f>IFERROR(VLOOKUP($D75,'Apoio - Mat Coletivo e Equip'!$A:$D,2,FALSE),"")</f>
        <v/>
      </c>
      <c r="F75" s="449"/>
      <c r="G75" s="743" t="str">
        <f>IFERROR(VLOOKUP($D75,'Apoio - Mat Coletivo e Equip'!$A:$D,3,FALSE),"")</f>
        <v/>
      </c>
      <c r="H75" s="742" t="str">
        <f>IFERROR(IF(VLOOKUP($D75,'Apoio - Mat Coletivo e Equip'!$A:$D,4,FALSE)=0,"",VLOOKUP($D75,'Apoio - Mat Coletivo e Equip'!$A:$D,4,FALSE)),"")</f>
        <v/>
      </c>
      <c r="I75" s="774" t="str">
        <f>IFERROR(ROUND((IF(ISNUMBER(H75),H75*'Mão de Obra'!$D$12/12,1)*G75*F75)/'Mão de Obra'!$D$12,2),"")</f>
        <v/>
      </c>
      <c r="J75" s="774" t="str">
        <f>IFERROR(ROUND(I75*(1+
SUM(
IFERROR(SUMPRODUCT('Mão de Obra'!$E$169:$II$169,'Mão de Obra'!$E$29:$II$29),0),
IFERROR(SUMPRODUCT(Produtividade!$E$171:$II$171,Produtividade!$E$29:$II$29),0),
IFERROR(SUMPRODUCT(Veículos!$E$81:$II$81,Veículos!$E$4:$II$4),0)
)
/
Proposta!$J$62),2),"")</f>
        <v/>
      </c>
    </row>
    <row r="76" spans="2:10" s="42" customFormat="1">
      <c r="B76" s="250">
        <v>71</v>
      </c>
      <c r="C76" s="250"/>
      <c r="D76" s="386"/>
      <c r="E76" s="250" t="str">
        <f>IFERROR(VLOOKUP($D76,'Apoio - Mat Coletivo e Equip'!$A:$D,2,FALSE),"")</f>
        <v/>
      </c>
      <c r="F76" s="449"/>
      <c r="G76" s="743" t="str">
        <f>IFERROR(VLOOKUP($D76,'Apoio - Mat Coletivo e Equip'!$A:$D,3,FALSE),"")</f>
        <v/>
      </c>
      <c r="H76" s="742" t="str">
        <f>IFERROR(IF(VLOOKUP($D76,'Apoio - Mat Coletivo e Equip'!$A:$D,4,FALSE)=0,"",VLOOKUP($D76,'Apoio - Mat Coletivo e Equip'!$A:$D,4,FALSE)),"")</f>
        <v/>
      </c>
      <c r="I76" s="774" t="str">
        <f>IFERROR(ROUND((IF(ISNUMBER(H76),H76*'Mão de Obra'!$D$12/12,1)*G76*F76)/'Mão de Obra'!$D$12,2),"")</f>
        <v/>
      </c>
      <c r="J76" s="774" t="str">
        <f>IFERROR(ROUND(I76*(1+
SUM(
IFERROR(SUMPRODUCT('Mão de Obra'!$E$169:$II$169,'Mão de Obra'!$E$29:$II$29),0),
IFERROR(SUMPRODUCT(Produtividade!$E$171:$II$171,Produtividade!$E$29:$II$29),0),
IFERROR(SUMPRODUCT(Veículos!$E$81:$II$81,Veículos!$E$4:$II$4),0)
)
/
Proposta!$J$62),2),"")</f>
        <v/>
      </c>
    </row>
    <row r="77" spans="2:10" s="42" customFormat="1">
      <c r="B77" s="250">
        <v>72</v>
      </c>
      <c r="C77" s="250"/>
      <c r="D77" s="386"/>
      <c r="E77" s="250" t="str">
        <f>IFERROR(VLOOKUP($D77,'Apoio - Mat Coletivo e Equip'!$A:$D,2,FALSE),"")</f>
        <v/>
      </c>
      <c r="F77" s="449"/>
      <c r="G77" s="743" t="str">
        <f>IFERROR(VLOOKUP($D77,'Apoio - Mat Coletivo e Equip'!$A:$D,3,FALSE),"")</f>
        <v/>
      </c>
      <c r="H77" s="742" t="str">
        <f>IFERROR(IF(VLOOKUP($D77,'Apoio - Mat Coletivo e Equip'!$A:$D,4,FALSE)=0,"",VLOOKUP($D77,'Apoio - Mat Coletivo e Equip'!$A:$D,4,FALSE)),"")</f>
        <v/>
      </c>
      <c r="I77" s="774" t="str">
        <f>IFERROR(ROUND((IF(ISNUMBER(H77),H77*'Mão de Obra'!$D$12/12,1)*G77*F77)/'Mão de Obra'!$D$12,2),"")</f>
        <v/>
      </c>
      <c r="J77" s="774" t="str">
        <f>IFERROR(ROUND(I77*(1+
SUM(
IFERROR(SUMPRODUCT('Mão de Obra'!$E$169:$II$169,'Mão de Obra'!$E$29:$II$29),0),
IFERROR(SUMPRODUCT(Produtividade!$E$171:$II$171,Produtividade!$E$29:$II$29),0),
IFERROR(SUMPRODUCT(Veículos!$E$81:$II$81,Veículos!$E$4:$II$4),0)
)
/
Proposta!$J$62),2),"")</f>
        <v/>
      </c>
    </row>
    <row r="78" spans="2:10" s="42" customFormat="1">
      <c r="B78" s="250">
        <v>73</v>
      </c>
      <c r="C78" s="250"/>
      <c r="D78" s="386"/>
      <c r="E78" s="250" t="str">
        <f>IFERROR(VLOOKUP($D78,'Apoio - Mat Coletivo e Equip'!$A:$D,2,FALSE),"")</f>
        <v/>
      </c>
      <c r="F78" s="449"/>
      <c r="G78" s="743" t="str">
        <f>IFERROR(VLOOKUP($D78,'Apoio - Mat Coletivo e Equip'!$A:$D,3,FALSE),"")</f>
        <v/>
      </c>
      <c r="H78" s="742" t="str">
        <f>IFERROR(IF(VLOOKUP($D78,'Apoio - Mat Coletivo e Equip'!$A:$D,4,FALSE)=0,"",VLOOKUP($D78,'Apoio - Mat Coletivo e Equip'!$A:$D,4,FALSE)),"")</f>
        <v/>
      </c>
      <c r="I78" s="774" t="str">
        <f>IFERROR(ROUND((IF(ISNUMBER(H78),H78*'Mão de Obra'!$D$12/12,1)*G78*F78)/'Mão de Obra'!$D$12,2),"")</f>
        <v/>
      </c>
      <c r="J78" s="774" t="str">
        <f>IFERROR(ROUND(I78*(1+
SUM(
IFERROR(SUMPRODUCT('Mão de Obra'!$E$169:$II$169,'Mão de Obra'!$E$29:$II$29),0),
IFERROR(SUMPRODUCT(Produtividade!$E$171:$II$171,Produtividade!$E$29:$II$29),0),
IFERROR(SUMPRODUCT(Veículos!$E$81:$II$81,Veículos!$E$4:$II$4),0)
)
/
Proposta!$J$62),2),"")</f>
        <v/>
      </c>
    </row>
    <row r="79" spans="2:10" s="42" customFormat="1">
      <c r="B79" s="250">
        <v>74</v>
      </c>
      <c r="C79" s="250"/>
      <c r="D79" s="386"/>
      <c r="E79" s="250" t="str">
        <f>IFERROR(VLOOKUP($D79,'Apoio - Mat Coletivo e Equip'!$A:$D,2,FALSE),"")</f>
        <v/>
      </c>
      <c r="F79" s="449"/>
      <c r="G79" s="743" t="str">
        <f>IFERROR(VLOOKUP($D79,'Apoio - Mat Coletivo e Equip'!$A:$D,3,FALSE),"")</f>
        <v/>
      </c>
      <c r="H79" s="742" t="str">
        <f>IFERROR(IF(VLOOKUP($D79,'Apoio - Mat Coletivo e Equip'!$A:$D,4,FALSE)=0,"",VLOOKUP($D79,'Apoio - Mat Coletivo e Equip'!$A:$D,4,FALSE)),"")</f>
        <v/>
      </c>
      <c r="I79" s="774" t="str">
        <f>IFERROR(ROUND((IF(ISNUMBER(H79),H79*'Mão de Obra'!$D$12/12,1)*G79*F79)/'Mão de Obra'!$D$12,2),"")</f>
        <v/>
      </c>
      <c r="J79" s="774" t="str">
        <f>IFERROR(ROUND(I79*(1+
SUM(
IFERROR(SUMPRODUCT('Mão de Obra'!$E$169:$II$169,'Mão de Obra'!$E$29:$II$29),0),
IFERROR(SUMPRODUCT(Produtividade!$E$171:$II$171,Produtividade!$E$29:$II$29),0),
IFERROR(SUMPRODUCT(Veículos!$E$81:$II$81,Veículos!$E$4:$II$4),0)
)
/
Proposta!$J$62),2),"")</f>
        <v/>
      </c>
    </row>
    <row r="80" spans="2:10" s="42" customFormat="1">
      <c r="B80" s="250">
        <v>75</v>
      </c>
      <c r="C80" s="250"/>
      <c r="D80" s="386"/>
      <c r="E80" s="250" t="str">
        <f>IFERROR(VLOOKUP($D80,'Apoio - Mat Coletivo e Equip'!$A:$D,2,FALSE),"")</f>
        <v/>
      </c>
      <c r="F80" s="449"/>
      <c r="G80" s="743" t="str">
        <f>IFERROR(VLOOKUP($D80,'Apoio - Mat Coletivo e Equip'!$A:$D,3,FALSE),"")</f>
        <v/>
      </c>
      <c r="H80" s="742" t="str">
        <f>IFERROR(IF(VLOOKUP($D80,'Apoio - Mat Coletivo e Equip'!$A:$D,4,FALSE)=0,"",VLOOKUP($D80,'Apoio - Mat Coletivo e Equip'!$A:$D,4,FALSE)),"")</f>
        <v/>
      </c>
      <c r="I80" s="774" t="str">
        <f>IFERROR(ROUND((IF(ISNUMBER(H80),H80*'Mão de Obra'!$D$12/12,1)*G80*F80)/'Mão de Obra'!$D$12,2),"")</f>
        <v/>
      </c>
      <c r="J80" s="774" t="str">
        <f>IFERROR(ROUND(I80*(1+
SUM(
IFERROR(SUMPRODUCT('Mão de Obra'!$E$169:$II$169,'Mão de Obra'!$E$29:$II$29),0),
IFERROR(SUMPRODUCT(Produtividade!$E$171:$II$171,Produtividade!$E$29:$II$29),0),
IFERROR(SUMPRODUCT(Veículos!$E$81:$II$81,Veículos!$E$4:$II$4),0)
)
/
Proposta!$J$62),2),"")</f>
        <v/>
      </c>
    </row>
    <row r="81" spans="2:10" s="42" customFormat="1">
      <c r="B81" s="250">
        <v>76</v>
      </c>
      <c r="C81" s="250"/>
      <c r="D81" s="386"/>
      <c r="E81" s="250" t="str">
        <f>IFERROR(VLOOKUP($D81,'Apoio - Mat Coletivo e Equip'!$A:$D,2,FALSE),"")</f>
        <v/>
      </c>
      <c r="F81" s="449"/>
      <c r="G81" s="743" t="str">
        <f>IFERROR(VLOOKUP($D81,'Apoio - Mat Coletivo e Equip'!$A:$D,3,FALSE),"")</f>
        <v/>
      </c>
      <c r="H81" s="742" t="str">
        <f>IFERROR(IF(VLOOKUP($D81,'Apoio - Mat Coletivo e Equip'!$A:$D,4,FALSE)=0,"",VLOOKUP($D81,'Apoio - Mat Coletivo e Equip'!$A:$D,4,FALSE)),"")</f>
        <v/>
      </c>
      <c r="I81" s="774" t="str">
        <f>IFERROR(ROUND((IF(ISNUMBER(H81),H81*'Mão de Obra'!$D$12/12,1)*G81*F81)/'Mão de Obra'!$D$12,2),"")</f>
        <v/>
      </c>
      <c r="J81" s="774" t="str">
        <f>IFERROR(ROUND(I81*(1+
SUM(
IFERROR(SUMPRODUCT('Mão de Obra'!$E$169:$II$169,'Mão de Obra'!$E$29:$II$29),0),
IFERROR(SUMPRODUCT(Produtividade!$E$171:$II$171,Produtividade!$E$29:$II$29),0),
IFERROR(SUMPRODUCT(Veículos!$E$81:$II$81,Veículos!$E$4:$II$4),0)
)
/
Proposta!$J$62),2),"")</f>
        <v/>
      </c>
    </row>
    <row r="82" spans="2:10" s="42" customFormat="1">
      <c r="B82" s="250">
        <v>77</v>
      </c>
      <c r="C82" s="250"/>
      <c r="D82" s="386"/>
      <c r="E82" s="250" t="str">
        <f>IFERROR(VLOOKUP($D82,'Apoio - Mat Coletivo e Equip'!$A:$D,2,FALSE),"")</f>
        <v/>
      </c>
      <c r="F82" s="449"/>
      <c r="G82" s="743" t="str">
        <f>IFERROR(VLOOKUP($D82,'Apoio - Mat Coletivo e Equip'!$A:$D,3,FALSE),"")</f>
        <v/>
      </c>
      <c r="H82" s="742" t="str">
        <f>IFERROR(IF(VLOOKUP($D82,'Apoio - Mat Coletivo e Equip'!$A:$D,4,FALSE)=0,"",VLOOKUP($D82,'Apoio - Mat Coletivo e Equip'!$A:$D,4,FALSE)),"")</f>
        <v/>
      </c>
      <c r="I82" s="774" t="str">
        <f>IFERROR(ROUND((IF(ISNUMBER(H82),H82*'Mão de Obra'!$D$12/12,1)*G82*F82)/'Mão de Obra'!$D$12,2),"")</f>
        <v/>
      </c>
      <c r="J82" s="774" t="str">
        <f>IFERROR(ROUND(I82*(1+
SUM(
IFERROR(SUMPRODUCT('Mão de Obra'!$E$169:$II$169,'Mão de Obra'!$E$29:$II$29),0),
IFERROR(SUMPRODUCT(Produtividade!$E$171:$II$171,Produtividade!$E$29:$II$29),0),
IFERROR(SUMPRODUCT(Veículos!$E$81:$II$81,Veículos!$E$4:$II$4),0)
)
/
Proposta!$J$62),2),"")</f>
        <v/>
      </c>
    </row>
    <row r="83" spans="2:10" s="42" customFormat="1">
      <c r="B83" s="250">
        <v>78</v>
      </c>
      <c r="C83" s="250"/>
      <c r="D83" s="386"/>
      <c r="E83" s="250" t="str">
        <f>IFERROR(VLOOKUP($D83,'Apoio - Mat Coletivo e Equip'!$A:$D,2,FALSE),"")</f>
        <v/>
      </c>
      <c r="F83" s="449"/>
      <c r="G83" s="743" t="str">
        <f>IFERROR(VLOOKUP($D83,'Apoio - Mat Coletivo e Equip'!$A:$D,3,FALSE),"")</f>
        <v/>
      </c>
      <c r="H83" s="742" t="str">
        <f>IFERROR(IF(VLOOKUP($D83,'Apoio - Mat Coletivo e Equip'!$A:$D,4,FALSE)=0,"",VLOOKUP($D83,'Apoio - Mat Coletivo e Equip'!$A:$D,4,FALSE)),"")</f>
        <v/>
      </c>
      <c r="I83" s="774" t="str">
        <f>IFERROR(ROUND((IF(ISNUMBER(H83),H83*'Mão de Obra'!$D$12/12,1)*G83*F83)/'Mão de Obra'!$D$12,2),"")</f>
        <v/>
      </c>
      <c r="J83" s="774" t="str">
        <f>IFERROR(ROUND(I83*(1+
SUM(
IFERROR(SUMPRODUCT('Mão de Obra'!$E$169:$II$169,'Mão de Obra'!$E$29:$II$29),0),
IFERROR(SUMPRODUCT(Produtividade!$E$171:$II$171,Produtividade!$E$29:$II$29),0),
IFERROR(SUMPRODUCT(Veículos!$E$81:$II$81,Veículos!$E$4:$II$4),0)
)
/
Proposta!$J$62),2),"")</f>
        <v/>
      </c>
    </row>
    <row r="84" spans="2:10" s="42" customFormat="1">
      <c r="B84" s="250">
        <v>79</v>
      </c>
      <c r="C84" s="250"/>
      <c r="D84" s="386"/>
      <c r="E84" s="250" t="str">
        <f>IFERROR(VLOOKUP($D84,'Apoio - Mat Coletivo e Equip'!$A:$D,2,FALSE),"")</f>
        <v/>
      </c>
      <c r="F84" s="449"/>
      <c r="G84" s="743" t="str">
        <f>IFERROR(VLOOKUP($D84,'Apoio - Mat Coletivo e Equip'!$A:$D,3,FALSE),"")</f>
        <v/>
      </c>
      <c r="H84" s="742" t="str">
        <f>IFERROR(IF(VLOOKUP($D84,'Apoio - Mat Coletivo e Equip'!$A:$D,4,FALSE)=0,"",VLOOKUP($D84,'Apoio - Mat Coletivo e Equip'!$A:$D,4,FALSE)),"")</f>
        <v/>
      </c>
      <c r="I84" s="774" t="str">
        <f>IFERROR(ROUND((IF(ISNUMBER(H84),H84*'Mão de Obra'!$D$12/12,1)*G84*F84)/'Mão de Obra'!$D$12,2),"")</f>
        <v/>
      </c>
      <c r="J84" s="774" t="str">
        <f>IFERROR(ROUND(I84*(1+
SUM(
IFERROR(SUMPRODUCT('Mão de Obra'!$E$169:$II$169,'Mão de Obra'!$E$29:$II$29),0),
IFERROR(SUMPRODUCT(Produtividade!$E$171:$II$171,Produtividade!$E$29:$II$29),0),
IFERROR(SUMPRODUCT(Veículos!$E$81:$II$81,Veículos!$E$4:$II$4),0)
)
/
Proposta!$J$62),2),"")</f>
        <v/>
      </c>
    </row>
    <row r="85" spans="2:10" s="42" customFormat="1">
      <c r="B85" s="250">
        <v>80</v>
      </c>
      <c r="C85" s="250"/>
      <c r="D85" s="386"/>
      <c r="E85" s="250" t="str">
        <f>IFERROR(VLOOKUP($D85,'Apoio - Mat Coletivo e Equip'!$A:$D,2,FALSE),"")</f>
        <v/>
      </c>
      <c r="F85" s="449"/>
      <c r="G85" s="743" t="str">
        <f>IFERROR(VLOOKUP($D85,'Apoio - Mat Coletivo e Equip'!$A:$D,3,FALSE),"")</f>
        <v/>
      </c>
      <c r="H85" s="742" t="str">
        <f>IFERROR(IF(VLOOKUP($D85,'Apoio - Mat Coletivo e Equip'!$A:$D,4,FALSE)=0,"",VLOOKUP($D85,'Apoio - Mat Coletivo e Equip'!$A:$D,4,FALSE)),"")</f>
        <v/>
      </c>
      <c r="I85" s="774" t="str">
        <f>IFERROR(ROUND((IF(ISNUMBER(H85),H85*'Mão de Obra'!$D$12/12,1)*G85*F85)/'Mão de Obra'!$D$12,2),"")</f>
        <v/>
      </c>
      <c r="J85" s="774" t="str">
        <f>IFERROR(ROUND(I85*(1+
SUM(
IFERROR(SUMPRODUCT('Mão de Obra'!$E$169:$II$169,'Mão de Obra'!$E$29:$II$29),0),
IFERROR(SUMPRODUCT(Produtividade!$E$171:$II$171,Produtividade!$E$29:$II$29),0),
IFERROR(SUMPRODUCT(Veículos!$E$81:$II$81,Veículos!$E$4:$II$4),0)
)
/
Proposta!$J$62),2),"")</f>
        <v/>
      </c>
    </row>
    <row r="86" spans="2:10" s="42" customFormat="1">
      <c r="B86" s="250">
        <v>81</v>
      </c>
      <c r="C86" s="250"/>
      <c r="D86" s="386"/>
      <c r="E86" s="250" t="str">
        <f>IFERROR(VLOOKUP($D86,'Apoio - Mat Coletivo e Equip'!$A:$D,2,FALSE),"")</f>
        <v/>
      </c>
      <c r="F86" s="449"/>
      <c r="G86" s="743" t="str">
        <f>IFERROR(VLOOKUP($D86,'Apoio - Mat Coletivo e Equip'!$A:$D,3,FALSE),"")</f>
        <v/>
      </c>
      <c r="H86" s="742" t="str">
        <f>IFERROR(IF(VLOOKUP($D86,'Apoio - Mat Coletivo e Equip'!$A:$D,4,FALSE)=0,"",VLOOKUP($D86,'Apoio - Mat Coletivo e Equip'!$A:$D,4,FALSE)),"")</f>
        <v/>
      </c>
      <c r="I86" s="774" t="str">
        <f>IFERROR(ROUND((IF(ISNUMBER(H86),H86*'Mão de Obra'!$D$12/12,1)*G86*F86)/'Mão de Obra'!$D$12,2),"")</f>
        <v/>
      </c>
      <c r="J86" s="774" t="str">
        <f>IFERROR(ROUND(I86*(1+
SUM(
IFERROR(SUMPRODUCT('Mão de Obra'!$E$169:$II$169,'Mão de Obra'!$E$29:$II$29),0),
IFERROR(SUMPRODUCT(Produtividade!$E$171:$II$171,Produtividade!$E$29:$II$29),0),
IFERROR(SUMPRODUCT(Veículos!$E$81:$II$81,Veículos!$E$4:$II$4),0)
)
/
Proposta!$J$62),2),"")</f>
        <v/>
      </c>
    </row>
    <row r="87" spans="2:10" s="42" customFormat="1">
      <c r="B87" s="250">
        <v>82</v>
      </c>
      <c r="C87" s="250"/>
      <c r="D87" s="386"/>
      <c r="E87" s="250" t="str">
        <f>IFERROR(VLOOKUP($D87,'Apoio - Mat Coletivo e Equip'!$A:$D,2,FALSE),"")</f>
        <v/>
      </c>
      <c r="F87" s="449"/>
      <c r="G87" s="743" t="str">
        <f>IFERROR(VLOOKUP($D87,'Apoio - Mat Coletivo e Equip'!$A:$D,3,FALSE),"")</f>
        <v/>
      </c>
      <c r="H87" s="742" t="str">
        <f>IFERROR(IF(VLOOKUP($D87,'Apoio - Mat Coletivo e Equip'!$A:$D,4,FALSE)=0,"",VLOOKUP($D87,'Apoio - Mat Coletivo e Equip'!$A:$D,4,FALSE)),"")</f>
        <v/>
      </c>
      <c r="I87" s="774" t="str">
        <f>IFERROR(ROUND((IF(ISNUMBER(H87),H87*'Mão de Obra'!$D$12/12,1)*G87*F87)/'Mão de Obra'!$D$12,2),"")</f>
        <v/>
      </c>
      <c r="J87" s="774" t="str">
        <f>IFERROR(ROUND(I87*(1+
SUM(
IFERROR(SUMPRODUCT('Mão de Obra'!$E$169:$II$169,'Mão de Obra'!$E$29:$II$29),0),
IFERROR(SUMPRODUCT(Produtividade!$E$171:$II$171,Produtividade!$E$29:$II$29),0),
IFERROR(SUMPRODUCT(Veículos!$E$81:$II$81,Veículos!$E$4:$II$4),0)
)
/
Proposta!$J$62),2),"")</f>
        <v/>
      </c>
    </row>
    <row r="88" spans="2:10" s="42" customFormat="1">
      <c r="B88" s="250">
        <v>83</v>
      </c>
      <c r="C88" s="250"/>
      <c r="D88" s="386"/>
      <c r="E88" s="250" t="str">
        <f>IFERROR(VLOOKUP($D88,'Apoio - Mat Coletivo e Equip'!$A:$D,2,FALSE),"")</f>
        <v/>
      </c>
      <c r="F88" s="449"/>
      <c r="G88" s="743" t="str">
        <f>IFERROR(VLOOKUP($D88,'Apoio - Mat Coletivo e Equip'!$A:$D,3,FALSE),"")</f>
        <v/>
      </c>
      <c r="H88" s="742" t="str">
        <f>IFERROR(IF(VLOOKUP($D88,'Apoio - Mat Coletivo e Equip'!$A:$D,4,FALSE)=0,"",VLOOKUP($D88,'Apoio - Mat Coletivo e Equip'!$A:$D,4,FALSE)),"")</f>
        <v/>
      </c>
      <c r="I88" s="774" t="str">
        <f>IFERROR(ROUND((IF(ISNUMBER(H88),H88*'Mão de Obra'!$D$12/12,1)*G88*F88)/'Mão de Obra'!$D$12,2),"")</f>
        <v/>
      </c>
      <c r="J88" s="774" t="str">
        <f>IFERROR(ROUND(I88*(1+
SUM(
IFERROR(SUMPRODUCT('Mão de Obra'!$E$169:$II$169,'Mão de Obra'!$E$29:$II$29),0),
IFERROR(SUMPRODUCT(Produtividade!$E$171:$II$171,Produtividade!$E$29:$II$29),0),
IFERROR(SUMPRODUCT(Veículos!$E$81:$II$81,Veículos!$E$4:$II$4),0)
)
/
Proposta!$J$62),2),"")</f>
        <v/>
      </c>
    </row>
    <row r="89" spans="2:10" s="42" customFormat="1">
      <c r="B89" s="250">
        <v>84</v>
      </c>
      <c r="C89" s="250"/>
      <c r="D89" s="386"/>
      <c r="E89" s="250" t="str">
        <f>IFERROR(VLOOKUP($D89,'Apoio - Mat Coletivo e Equip'!$A:$D,2,FALSE),"")</f>
        <v/>
      </c>
      <c r="F89" s="449"/>
      <c r="G89" s="743" t="str">
        <f>IFERROR(VLOOKUP($D89,'Apoio - Mat Coletivo e Equip'!$A:$D,3,FALSE),"")</f>
        <v/>
      </c>
      <c r="H89" s="742" t="str">
        <f>IFERROR(IF(VLOOKUP($D89,'Apoio - Mat Coletivo e Equip'!$A:$D,4,FALSE)=0,"",VLOOKUP($D89,'Apoio - Mat Coletivo e Equip'!$A:$D,4,FALSE)),"")</f>
        <v/>
      </c>
      <c r="I89" s="774" t="str">
        <f>IFERROR(ROUND((IF(ISNUMBER(H89),H89*'Mão de Obra'!$D$12/12,1)*G89*F89)/'Mão de Obra'!$D$12,2),"")</f>
        <v/>
      </c>
      <c r="J89" s="774" t="str">
        <f>IFERROR(ROUND(I89*(1+
SUM(
IFERROR(SUMPRODUCT('Mão de Obra'!$E$169:$II$169,'Mão de Obra'!$E$29:$II$29),0),
IFERROR(SUMPRODUCT(Produtividade!$E$171:$II$171,Produtividade!$E$29:$II$29),0),
IFERROR(SUMPRODUCT(Veículos!$E$81:$II$81,Veículos!$E$4:$II$4),0)
)
/
Proposta!$J$62),2),"")</f>
        <v/>
      </c>
    </row>
    <row r="90" spans="2:10" s="42" customFormat="1">
      <c r="B90" s="250">
        <v>85</v>
      </c>
      <c r="C90" s="250"/>
      <c r="D90" s="386"/>
      <c r="E90" s="250" t="str">
        <f>IFERROR(VLOOKUP($D90,'Apoio - Mat Coletivo e Equip'!$A:$D,2,FALSE),"")</f>
        <v/>
      </c>
      <c r="F90" s="449"/>
      <c r="G90" s="743" t="str">
        <f>IFERROR(VLOOKUP($D90,'Apoio - Mat Coletivo e Equip'!$A:$D,3,FALSE),"")</f>
        <v/>
      </c>
      <c r="H90" s="742" t="str">
        <f>IFERROR(IF(VLOOKUP($D90,'Apoio - Mat Coletivo e Equip'!$A:$D,4,FALSE)=0,"",VLOOKUP($D90,'Apoio - Mat Coletivo e Equip'!$A:$D,4,FALSE)),"")</f>
        <v/>
      </c>
      <c r="I90" s="774" t="str">
        <f>IFERROR(ROUND((IF(ISNUMBER(H90),H90*'Mão de Obra'!$D$12/12,1)*G90*F90)/'Mão de Obra'!$D$12,2),"")</f>
        <v/>
      </c>
      <c r="J90" s="774" t="str">
        <f>IFERROR(ROUND(I90*(1+
SUM(
IFERROR(SUMPRODUCT('Mão de Obra'!$E$169:$II$169,'Mão de Obra'!$E$29:$II$29),0),
IFERROR(SUMPRODUCT(Produtividade!$E$171:$II$171,Produtividade!$E$29:$II$29),0),
IFERROR(SUMPRODUCT(Veículos!$E$81:$II$81,Veículos!$E$4:$II$4),0)
)
/
Proposta!$J$62),2),"")</f>
        <v/>
      </c>
    </row>
    <row r="91" spans="2:10" s="42" customFormat="1">
      <c r="B91" s="250">
        <v>86</v>
      </c>
      <c r="C91" s="250"/>
      <c r="D91" s="386"/>
      <c r="E91" s="250" t="str">
        <f>IFERROR(VLOOKUP($D91,'Apoio - Mat Coletivo e Equip'!$A:$D,2,FALSE),"")</f>
        <v/>
      </c>
      <c r="F91" s="449"/>
      <c r="G91" s="743" t="str">
        <f>IFERROR(VLOOKUP($D91,'Apoio - Mat Coletivo e Equip'!$A:$D,3,FALSE),"")</f>
        <v/>
      </c>
      <c r="H91" s="742" t="str">
        <f>IFERROR(IF(VLOOKUP($D91,'Apoio - Mat Coletivo e Equip'!$A:$D,4,FALSE)=0,"",VLOOKUP($D91,'Apoio - Mat Coletivo e Equip'!$A:$D,4,FALSE)),"")</f>
        <v/>
      </c>
      <c r="I91" s="774" t="str">
        <f>IFERROR(ROUND((IF(ISNUMBER(H91),H91*'Mão de Obra'!$D$12/12,1)*G91*F91)/'Mão de Obra'!$D$12,2),"")</f>
        <v/>
      </c>
      <c r="J91" s="774" t="str">
        <f>IFERROR(ROUND(I91*(1+
SUM(
IFERROR(SUMPRODUCT('Mão de Obra'!$E$169:$II$169,'Mão de Obra'!$E$29:$II$29),0),
IFERROR(SUMPRODUCT(Produtividade!$E$171:$II$171,Produtividade!$E$29:$II$29),0),
IFERROR(SUMPRODUCT(Veículos!$E$81:$II$81,Veículos!$E$4:$II$4),0)
)
/
Proposta!$J$62),2),"")</f>
        <v/>
      </c>
    </row>
    <row r="92" spans="2:10" s="42" customFormat="1">
      <c r="B92" s="250">
        <v>87</v>
      </c>
      <c r="C92" s="250"/>
      <c r="D92" s="386"/>
      <c r="E92" s="250" t="str">
        <f>IFERROR(VLOOKUP($D92,'Apoio - Mat Coletivo e Equip'!$A:$D,2,FALSE),"")</f>
        <v/>
      </c>
      <c r="F92" s="449"/>
      <c r="G92" s="743" t="str">
        <f>IFERROR(VLOOKUP($D92,'Apoio - Mat Coletivo e Equip'!$A:$D,3,FALSE),"")</f>
        <v/>
      </c>
      <c r="H92" s="742" t="str">
        <f>IFERROR(IF(VLOOKUP($D92,'Apoio - Mat Coletivo e Equip'!$A:$D,4,FALSE)=0,"",VLOOKUP($D92,'Apoio - Mat Coletivo e Equip'!$A:$D,4,FALSE)),"")</f>
        <v/>
      </c>
      <c r="I92" s="774" t="str">
        <f>IFERROR(ROUND((IF(ISNUMBER(H92),H92*'Mão de Obra'!$D$12/12,1)*G92*F92)/'Mão de Obra'!$D$12,2),"")</f>
        <v/>
      </c>
      <c r="J92" s="774" t="str">
        <f>IFERROR(ROUND(I92*(1+
SUM(
IFERROR(SUMPRODUCT('Mão de Obra'!$E$169:$II$169,'Mão de Obra'!$E$29:$II$29),0),
IFERROR(SUMPRODUCT(Produtividade!$E$171:$II$171,Produtividade!$E$29:$II$29),0),
IFERROR(SUMPRODUCT(Veículos!$E$81:$II$81,Veículos!$E$4:$II$4),0)
)
/
Proposta!$J$62),2),"")</f>
        <v/>
      </c>
    </row>
    <row r="93" spans="2:10" s="42" customFormat="1">
      <c r="B93" s="250">
        <v>88</v>
      </c>
      <c r="C93" s="250"/>
      <c r="D93" s="386"/>
      <c r="E93" s="250" t="str">
        <f>IFERROR(VLOOKUP($D93,'Apoio - Mat Coletivo e Equip'!$A:$D,2,FALSE),"")</f>
        <v/>
      </c>
      <c r="F93" s="449"/>
      <c r="G93" s="743" t="str">
        <f>IFERROR(VLOOKUP($D93,'Apoio - Mat Coletivo e Equip'!$A:$D,3,FALSE),"")</f>
        <v/>
      </c>
      <c r="H93" s="742" t="str">
        <f>IFERROR(IF(VLOOKUP($D93,'Apoio - Mat Coletivo e Equip'!$A:$D,4,FALSE)=0,"",VLOOKUP($D93,'Apoio - Mat Coletivo e Equip'!$A:$D,4,FALSE)),"")</f>
        <v/>
      </c>
      <c r="I93" s="774" t="str">
        <f>IFERROR(ROUND((IF(ISNUMBER(H93),H93*'Mão de Obra'!$D$12/12,1)*G93*F93)/'Mão de Obra'!$D$12,2),"")</f>
        <v/>
      </c>
      <c r="J93" s="774" t="str">
        <f>IFERROR(ROUND(I93*(1+
SUM(
IFERROR(SUMPRODUCT('Mão de Obra'!$E$169:$II$169,'Mão de Obra'!$E$29:$II$29),0),
IFERROR(SUMPRODUCT(Produtividade!$E$171:$II$171,Produtividade!$E$29:$II$29),0),
IFERROR(SUMPRODUCT(Veículos!$E$81:$II$81,Veículos!$E$4:$II$4),0)
)
/
Proposta!$J$62),2),"")</f>
        <v/>
      </c>
    </row>
    <row r="94" spans="2:10" s="42" customFormat="1">
      <c r="B94" s="250">
        <v>89</v>
      </c>
      <c r="C94" s="250"/>
      <c r="D94" s="386"/>
      <c r="E94" s="250" t="str">
        <f>IFERROR(VLOOKUP($D94,'Apoio - Mat Coletivo e Equip'!$A:$D,2,FALSE),"")</f>
        <v/>
      </c>
      <c r="F94" s="449"/>
      <c r="G94" s="743" t="str">
        <f>IFERROR(VLOOKUP($D94,'Apoio - Mat Coletivo e Equip'!$A:$D,3,FALSE),"")</f>
        <v/>
      </c>
      <c r="H94" s="742" t="str">
        <f>IFERROR(IF(VLOOKUP($D94,'Apoio - Mat Coletivo e Equip'!$A:$D,4,FALSE)=0,"",VLOOKUP($D94,'Apoio - Mat Coletivo e Equip'!$A:$D,4,FALSE)),"")</f>
        <v/>
      </c>
      <c r="I94" s="774" t="str">
        <f>IFERROR(ROUND((IF(ISNUMBER(H94),H94*'Mão de Obra'!$D$12/12,1)*G94*F94)/'Mão de Obra'!$D$12,2),"")</f>
        <v/>
      </c>
      <c r="J94" s="774" t="str">
        <f>IFERROR(ROUND(I94*(1+
SUM(
IFERROR(SUMPRODUCT('Mão de Obra'!$E$169:$II$169,'Mão de Obra'!$E$29:$II$29),0),
IFERROR(SUMPRODUCT(Produtividade!$E$171:$II$171,Produtividade!$E$29:$II$29),0),
IFERROR(SUMPRODUCT(Veículos!$E$81:$II$81,Veículos!$E$4:$II$4),0)
)
/
Proposta!$J$62),2),"")</f>
        <v/>
      </c>
    </row>
    <row r="95" spans="2:10" s="42" customFormat="1">
      <c r="B95" s="250">
        <v>90</v>
      </c>
      <c r="C95" s="250"/>
      <c r="D95" s="386"/>
      <c r="E95" s="250" t="str">
        <f>IFERROR(VLOOKUP($D95,'Apoio - Mat Coletivo e Equip'!$A:$D,2,FALSE),"")</f>
        <v/>
      </c>
      <c r="F95" s="449"/>
      <c r="G95" s="743" t="str">
        <f>IFERROR(VLOOKUP($D95,'Apoio - Mat Coletivo e Equip'!$A:$D,3,FALSE),"")</f>
        <v/>
      </c>
      <c r="H95" s="742" t="str">
        <f>IFERROR(IF(VLOOKUP($D95,'Apoio - Mat Coletivo e Equip'!$A:$D,4,FALSE)=0,"",VLOOKUP($D95,'Apoio - Mat Coletivo e Equip'!$A:$D,4,FALSE)),"")</f>
        <v/>
      </c>
      <c r="I95" s="774" t="str">
        <f>IFERROR(ROUND((IF(ISNUMBER(H95),H95*'Mão de Obra'!$D$12/12,1)*G95*F95)/'Mão de Obra'!$D$12,2),"")</f>
        <v/>
      </c>
      <c r="J95" s="774" t="str">
        <f>IFERROR(ROUND(I95*(1+
SUM(
IFERROR(SUMPRODUCT('Mão de Obra'!$E$169:$II$169,'Mão de Obra'!$E$29:$II$29),0),
IFERROR(SUMPRODUCT(Produtividade!$E$171:$II$171,Produtividade!$E$29:$II$29),0),
IFERROR(SUMPRODUCT(Veículos!$E$81:$II$81,Veículos!$E$4:$II$4),0)
)
/
Proposta!$J$62),2),"")</f>
        <v/>
      </c>
    </row>
    <row r="96" spans="2:10" s="42" customFormat="1">
      <c r="B96" s="250">
        <v>91</v>
      </c>
      <c r="C96" s="250"/>
      <c r="D96" s="386"/>
      <c r="E96" s="250" t="str">
        <f>IFERROR(VLOOKUP($D96,'Apoio - Mat Coletivo e Equip'!$A:$D,2,FALSE),"")</f>
        <v/>
      </c>
      <c r="F96" s="449"/>
      <c r="G96" s="743" t="str">
        <f>IFERROR(VLOOKUP($D96,'Apoio - Mat Coletivo e Equip'!$A:$D,3,FALSE),"")</f>
        <v/>
      </c>
      <c r="H96" s="742" t="str">
        <f>IFERROR(IF(VLOOKUP($D96,'Apoio - Mat Coletivo e Equip'!$A:$D,4,FALSE)=0,"",VLOOKUP($D96,'Apoio - Mat Coletivo e Equip'!$A:$D,4,FALSE)),"")</f>
        <v/>
      </c>
      <c r="I96" s="774" t="str">
        <f>IFERROR(ROUND((IF(ISNUMBER(H96),H96*'Mão de Obra'!$D$12/12,1)*G96*F96)/'Mão de Obra'!$D$12,2),"")</f>
        <v/>
      </c>
      <c r="J96" s="774" t="str">
        <f>IFERROR(ROUND(I96*(1+
SUM(
IFERROR(SUMPRODUCT('Mão de Obra'!$E$169:$II$169,'Mão de Obra'!$E$29:$II$29),0),
IFERROR(SUMPRODUCT(Produtividade!$E$171:$II$171,Produtividade!$E$29:$II$29),0),
IFERROR(SUMPRODUCT(Veículos!$E$81:$II$81,Veículos!$E$4:$II$4),0)
)
/
Proposta!$J$62),2),"")</f>
        <v/>
      </c>
    </row>
    <row r="97" spans="2:10" s="42" customFormat="1">
      <c r="B97" s="250">
        <v>92</v>
      </c>
      <c r="C97" s="250"/>
      <c r="D97" s="386"/>
      <c r="E97" s="250" t="str">
        <f>IFERROR(VLOOKUP($D97,'Apoio - Mat Coletivo e Equip'!$A:$D,2,FALSE),"")</f>
        <v/>
      </c>
      <c r="F97" s="449"/>
      <c r="G97" s="743" t="str">
        <f>IFERROR(VLOOKUP($D97,'Apoio - Mat Coletivo e Equip'!$A:$D,3,FALSE),"")</f>
        <v/>
      </c>
      <c r="H97" s="742" t="str">
        <f>IFERROR(IF(VLOOKUP($D97,'Apoio - Mat Coletivo e Equip'!$A:$D,4,FALSE)=0,"",VLOOKUP($D97,'Apoio - Mat Coletivo e Equip'!$A:$D,4,FALSE)),"")</f>
        <v/>
      </c>
      <c r="I97" s="774" t="str">
        <f>IFERROR(ROUND((IF(ISNUMBER(H97),H97*'Mão de Obra'!$D$12/12,1)*G97*F97)/'Mão de Obra'!$D$12,2),"")</f>
        <v/>
      </c>
      <c r="J97" s="774" t="str">
        <f>IFERROR(ROUND(I97*(1+
SUM(
IFERROR(SUMPRODUCT('Mão de Obra'!$E$169:$II$169,'Mão de Obra'!$E$29:$II$29),0),
IFERROR(SUMPRODUCT(Produtividade!$E$171:$II$171,Produtividade!$E$29:$II$29),0),
IFERROR(SUMPRODUCT(Veículos!$E$81:$II$81,Veículos!$E$4:$II$4),0)
)
/
Proposta!$J$62),2),"")</f>
        <v/>
      </c>
    </row>
    <row r="98" spans="2:10" s="42" customFormat="1">
      <c r="B98" s="250">
        <v>93</v>
      </c>
      <c r="C98" s="250"/>
      <c r="D98" s="386"/>
      <c r="E98" s="250" t="str">
        <f>IFERROR(VLOOKUP($D98,'Apoio - Mat Coletivo e Equip'!$A:$D,2,FALSE),"")</f>
        <v/>
      </c>
      <c r="F98" s="449"/>
      <c r="G98" s="743" t="str">
        <f>IFERROR(VLOOKUP($D98,'Apoio - Mat Coletivo e Equip'!$A:$D,3,FALSE),"")</f>
        <v/>
      </c>
      <c r="H98" s="742" t="str">
        <f>IFERROR(IF(VLOOKUP($D98,'Apoio - Mat Coletivo e Equip'!$A:$D,4,FALSE)=0,"",VLOOKUP($D98,'Apoio - Mat Coletivo e Equip'!$A:$D,4,FALSE)),"")</f>
        <v/>
      </c>
      <c r="I98" s="774" t="str">
        <f>IFERROR(ROUND((IF(ISNUMBER(H98),H98*'Mão de Obra'!$D$12/12,1)*G98*F98)/'Mão de Obra'!$D$12,2),"")</f>
        <v/>
      </c>
      <c r="J98" s="774" t="str">
        <f>IFERROR(ROUND(I98*(1+
SUM(
IFERROR(SUMPRODUCT('Mão de Obra'!$E$169:$II$169,'Mão de Obra'!$E$29:$II$29),0),
IFERROR(SUMPRODUCT(Produtividade!$E$171:$II$171,Produtividade!$E$29:$II$29),0),
IFERROR(SUMPRODUCT(Veículos!$E$81:$II$81,Veículos!$E$4:$II$4),0)
)
/
Proposta!$J$62),2),"")</f>
        <v/>
      </c>
    </row>
    <row r="99" spans="2:10" s="42" customFormat="1">
      <c r="B99" s="250">
        <v>94</v>
      </c>
      <c r="C99" s="250"/>
      <c r="D99" s="386"/>
      <c r="E99" s="250" t="str">
        <f>IFERROR(VLOOKUP($D99,'Apoio - Mat Coletivo e Equip'!$A:$D,2,FALSE),"")</f>
        <v/>
      </c>
      <c r="F99" s="449"/>
      <c r="G99" s="743" t="str">
        <f>IFERROR(VLOOKUP($D99,'Apoio - Mat Coletivo e Equip'!$A:$D,3,FALSE),"")</f>
        <v/>
      </c>
      <c r="H99" s="742" t="str">
        <f>IFERROR(IF(VLOOKUP($D99,'Apoio - Mat Coletivo e Equip'!$A:$D,4,FALSE)=0,"",VLOOKUP($D99,'Apoio - Mat Coletivo e Equip'!$A:$D,4,FALSE)),"")</f>
        <v/>
      </c>
      <c r="I99" s="774" t="str">
        <f>IFERROR(ROUND((IF(ISNUMBER(H99),H99*'Mão de Obra'!$D$12/12,1)*G99*F99)/'Mão de Obra'!$D$12,2),"")</f>
        <v/>
      </c>
      <c r="J99" s="774" t="str">
        <f>IFERROR(ROUND(I99*(1+
SUM(
IFERROR(SUMPRODUCT('Mão de Obra'!$E$169:$II$169,'Mão de Obra'!$E$29:$II$29),0),
IFERROR(SUMPRODUCT(Produtividade!$E$171:$II$171,Produtividade!$E$29:$II$29),0),
IFERROR(SUMPRODUCT(Veículos!$E$81:$II$81,Veículos!$E$4:$II$4),0)
)
/
Proposta!$J$62),2),"")</f>
        <v/>
      </c>
    </row>
    <row r="100" spans="2:10" s="42" customFormat="1">
      <c r="B100" s="250">
        <v>95</v>
      </c>
      <c r="C100" s="250"/>
      <c r="D100" s="386"/>
      <c r="E100" s="250" t="str">
        <f>IFERROR(VLOOKUP($D100,'Apoio - Mat Coletivo e Equip'!$A:$D,2,FALSE),"")</f>
        <v/>
      </c>
      <c r="F100" s="449"/>
      <c r="G100" s="743" t="str">
        <f>IFERROR(VLOOKUP($D100,'Apoio - Mat Coletivo e Equip'!$A:$D,3,FALSE),"")</f>
        <v/>
      </c>
      <c r="H100" s="742" t="str">
        <f>IFERROR(IF(VLOOKUP($D100,'Apoio - Mat Coletivo e Equip'!$A:$D,4,FALSE)=0,"",VLOOKUP($D100,'Apoio - Mat Coletivo e Equip'!$A:$D,4,FALSE)),"")</f>
        <v/>
      </c>
      <c r="I100" s="774" t="str">
        <f>IFERROR(ROUND((IF(ISNUMBER(H100),H100*'Mão de Obra'!$D$12/12,1)*G100*F100)/'Mão de Obra'!$D$12,2),"")</f>
        <v/>
      </c>
      <c r="J100" s="774" t="str">
        <f>IFERROR(ROUND(I100*(1+
SUM(
IFERROR(SUMPRODUCT('Mão de Obra'!$E$169:$II$169,'Mão de Obra'!$E$29:$II$29),0),
IFERROR(SUMPRODUCT(Produtividade!$E$171:$II$171,Produtividade!$E$29:$II$29),0),
IFERROR(SUMPRODUCT(Veículos!$E$81:$II$81,Veículos!$E$4:$II$4),0)
)
/
Proposta!$J$62),2),"")</f>
        <v/>
      </c>
    </row>
    <row r="101" spans="2:10" s="42" customFormat="1">
      <c r="B101" s="250">
        <v>96</v>
      </c>
      <c r="C101" s="250"/>
      <c r="D101" s="386"/>
      <c r="E101" s="250" t="str">
        <f>IFERROR(VLOOKUP($D101,'Apoio - Mat Coletivo e Equip'!$A:$D,2,FALSE),"")</f>
        <v/>
      </c>
      <c r="F101" s="449"/>
      <c r="G101" s="743" t="str">
        <f>IFERROR(VLOOKUP($D101,'Apoio - Mat Coletivo e Equip'!$A:$D,3,FALSE),"")</f>
        <v/>
      </c>
      <c r="H101" s="742" t="str">
        <f>IFERROR(IF(VLOOKUP($D101,'Apoio - Mat Coletivo e Equip'!$A:$D,4,FALSE)=0,"",VLOOKUP($D101,'Apoio - Mat Coletivo e Equip'!$A:$D,4,FALSE)),"")</f>
        <v/>
      </c>
      <c r="I101" s="774" t="str">
        <f>IFERROR(ROUND((IF(ISNUMBER(H101),H101*'Mão de Obra'!$D$12/12,1)*G101*F101)/'Mão de Obra'!$D$12,2),"")</f>
        <v/>
      </c>
      <c r="J101" s="774" t="str">
        <f>IFERROR(ROUND(I101*(1+
SUM(
IFERROR(SUMPRODUCT('Mão de Obra'!$E$169:$II$169,'Mão de Obra'!$E$29:$II$29),0),
IFERROR(SUMPRODUCT(Produtividade!$E$171:$II$171,Produtividade!$E$29:$II$29),0),
IFERROR(SUMPRODUCT(Veículos!$E$81:$II$81,Veículos!$E$4:$II$4),0)
)
/
Proposta!$J$62),2),"")</f>
        <v/>
      </c>
    </row>
    <row r="102" spans="2:10" s="42" customFormat="1">
      <c r="B102" s="250">
        <v>97</v>
      </c>
      <c r="C102" s="250"/>
      <c r="D102" s="386"/>
      <c r="E102" s="250" t="str">
        <f>IFERROR(VLOOKUP($D102,'Apoio - Mat Coletivo e Equip'!$A:$D,2,FALSE),"")</f>
        <v/>
      </c>
      <c r="F102" s="449"/>
      <c r="G102" s="743" t="str">
        <f>IFERROR(VLOOKUP($D102,'Apoio - Mat Coletivo e Equip'!$A:$D,3,FALSE),"")</f>
        <v/>
      </c>
      <c r="H102" s="742" t="str">
        <f>IFERROR(IF(VLOOKUP($D102,'Apoio - Mat Coletivo e Equip'!$A:$D,4,FALSE)=0,"",VLOOKUP($D102,'Apoio - Mat Coletivo e Equip'!$A:$D,4,FALSE)),"")</f>
        <v/>
      </c>
      <c r="I102" s="774" t="str">
        <f>IFERROR(ROUND((IF(ISNUMBER(H102),H102*'Mão de Obra'!$D$12/12,1)*G102*F102)/'Mão de Obra'!$D$12,2),"")</f>
        <v/>
      </c>
      <c r="J102" s="774" t="str">
        <f>IFERROR(ROUND(I102*(1+
SUM(
IFERROR(SUMPRODUCT('Mão de Obra'!$E$169:$II$169,'Mão de Obra'!$E$29:$II$29),0),
IFERROR(SUMPRODUCT(Produtividade!$E$171:$II$171,Produtividade!$E$29:$II$29),0),
IFERROR(SUMPRODUCT(Veículos!$E$81:$II$81,Veículos!$E$4:$II$4),0)
)
/
Proposta!$J$62),2),"")</f>
        <v/>
      </c>
    </row>
    <row r="103" spans="2:10" s="42" customFormat="1">
      <c r="B103" s="250">
        <v>98</v>
      </c>
      <c r="C103" s="250"/>
      <c r="D103" s="386"/>
      <c r="E103" s="250" t="str">
        <f>IFERROR(VLOOKUP($D103,'Apoio - Mat Coletivo e Equip'!$A:$D,2,FALSE),"")</f>
        <v/>
      </c>
      <c r="F103" s="449"/>
      <c r="G103" s="743" t="str">
        <f>IFERROR(VLOOKUP($D103,'Apoio - Mat Coletivo e Equip'!$A:$D,3,FALSE),"")</f>
        <v/>
      </c>
      <c r="H103" s="742" t="str">
        <f>IFERROR(IF(VLOOKUP($D103,'Apoio - Mat Coletivo e Equip'!$A:$D,4,FALSE)=0,"",VLOOKUP($D103,'Apoio - Mat Coletivo e Equip'!$A:$D,4,FALSE)),"")</f>
        <v/>
      </c>
      <c r="I103" s="774" t="str">
        <f>IFERROR(ROUND((IF(ISNUMBER(H103),H103*'Mão de Obra'!$D$12/12,1)*G103*F103)/'Mão de Obra'!$D$12,2),"")</f>
        <v/>
      </c>
      <c r="J103" s="774" t="str">
        <f>IFERROR(ROUND(I103*(1+
SUM(
IFERROR(SUMPRODUCT('Mão de Obra'!$E$169:$II$169,'Mão de Obra'!$E$29:$II$29),0),
IFERROR(SUMPRODUCT(Produtividade!$E$171:$II$171,Produtividade!$E$29:$II$29),0),
IFERROR(SUMPRODUCT(Veículos!$E$81:$II$81,Veículos!$E$4:$II$4),0)
)
/
Proposta!$J$62),2),"")</f>
        <v/>
      </c>
    </row>
    <row r="104" spans="2:10" s="42" customFormat="1">
      <c r="B104" s="250">
        <v>99</v>
      </c>
      <c r="C104" s="250"/>
      <c r="D104" s="386"/>
      <c r="E104" s="250" t="str">
        <f>IFERROR(VLOOKUP($D104,'Apoio - Mat Coletivo e Equip'!$A:$D,2,FALSE),"")</f>
        <v/>
      </c>
      <c r="F104" s="449"/>
      <c r="G104" s="743" t="str">
        <f>IFERROR(VLOOKUP($D104,'Apoio - Mat Coletivo e Equip'!$A:$D,3,FALSE),"")</f>
        <v/>
      </c>
      <c r="H104" s="742" t="str">
        <f>IFERROR(IF(VLOOKUP($D104,'Apoio - Mat Coletivo e Equip'!$A:$D,4,FALSE)=0,"",VLOOKUP($D104,'Apoio - Mat Coletivo e Equip'!$A:$D,4,FALSE)),"")</f>
        <v/>
      </c>
      <c r="I104" s="774" t="str">
        <f>IFERROR(ROUND((IF(ISNUMBER(H104),H104*'Mão de Obra'!$D$12/12,1)*G104*F104)/'Mão de Obra'!$D$12,2),"")</f>
        <v/>
      </c>
      <c r="J104" s="774" t="str">
        <f>IFERROR(ROUND(I104*(1+
SUM(
IFERROR(SUMPRODUCT('Mão de Obra'!$E$169:$II$169,'Mão de Obra'!$E$29:$II$29),0),
IFERROR(SUMPRODUCT(Produtividade!$E$171:$II$171,Produtividade!$E$29:$II$29),0),
IFERROR(SUMPRODUCT(Veículos!$E$81:$II$81,Veículos!$E$4:$II$4),0)
)
/
Proposta!$J$62),2),"")</f>
        <v/>
      </c>
    </row>
    <row r="105" spans="2:10" s="42" customFormat="1">
      <c r="B105" s="250">
        <v>100</v>
      </c>
      <c r="C105" s="250"/>
      <c r="D105" s="386"/>
      <c r="E105" s="250" t="str">
        <f>IFERROR(VLOOKUP($D105,'Apoio - Mat Coletivo e Equip'!$A:$D,2,FALSE),"")</f>
        <v/>
      </c>
      <c r="F105" s="449"/>
      <c r="G105" s="743" t="str">
        <f>IFERROR(VLOOKUP($D105,'Apoio - Mat Coletivo e Equip'!$A:$D,3,FALSE),"")</f>
        <v/>
      </c>
      <c r="H105" s="742" t="str">
        <f>IFERROR(IF(VLOOKUP($D105,'Apoio - Mat Coletivo e Equip'!$A:$D,4,FALSE)=0,"",VLOOKUP($D105,'Apoio - Mat Coletivo e Equip'!$A:$D,4,FALSE)),"")</f>
        <v/>
      </c>
      <c r="I105" s="774" t="str">
        <f>IFERROR(ROUND((IF(ISNUMBER(H105),H105*'Mão de Obra'!$D$12/12,1)*G105*F105)/'Mão de Obra'!$D$12,2),"")</f>
        <v/>
      </c>
      <c r="J105" s="774" t="str">
        <f>IFERROR(ROUND(I105*(1+
SUM(
IFERROR(SUMPRODUCT('Mão de Obra'!$E$169:$II$169,'Mão de Obra'!$E$29:$II$29),0),
IFERROR(SUMPRODUCT(Produtividade!$E$171:$II$171,Produtividade!$E$29:$II$29),0),
IFERROR(SUMPRODUCT(Veículos!$E$81:$II$81,Veículos!$E$4:$II$4),0)
)
/
Proposta!$J$62),2),"")</f>
        <v/>
      </c>
    </row>
    <row r="106" spans="2:10" s="42" customFormat="1">
      <c r="B106" s="250">
        <v>101</v>
      </c>
      <c r="C106" s="250"/>
      <c r="D106" s="386"/>
      <c r="E106" s="250" t="str">
        <f>IFERROR(VLOOKUP($D106,'Apoio - Mat Coletivo e Equip'!$A:$D,2,FALSE),"")</f>
        <v/>
      </c>
      <c r="F106" s="449"/>
      <c r="G106" s="743" t="str">
        <f>IFERROR(VLOOKUP($D106,'Apoio - Mat Coletivo e Equip'!$A:$D,3,FALSE),"")</f>
        <v/>
      </c>
      <c r="H106" s="742" t="str">
        <f>IFERROR(IF(VLOOKUP($D106,'Apoio - Mat Coletivo e Equip'!$A:$D,4,FALSE)=0,"",VLOOKUP($D106,'Apoio - Mat Coletivo e Equip'!$A:$D,4,FALSE)),"")</f>
        <v/>
      </c>
      <c r="I106" s="774" t="str">
        <f>IFERROR(ROUND((IF(ISNUMBER(H106),H106*'Mão de Obra'!$D$12/12,1)*G106*F106)/'Mão de Obra'!$D$12,2),"")</f>
        <v/>
      </c>
      <c r="J106" s="774" t="str">
        <f>IFERROR(ROUND(I106*(1+
SUM(
IFERROR(SUMPRODUCT('Mão de Obra'!$E$169:$II$169,'Mão de Obra'!$E$29:$II$29),0),
IFERROR(SUMPRODUCT(Produtividade!$E$171:$II$171,Produtividade!$E$29:$II$29),0),
IFERROR(SUMPRODUCT(Veículos!$E$81:$II$81,Veículos!$E$4:$II$4),0)
)
/
Proposta!$J$62),2),"")</f>
        <v/>
      </c>
    </row>
    <row r="107" spans="2:10" s="42" customFormat="1">
      <c r="B107" s="250">
        <v>102</v>
      </c>
      <c r="C107" s="250"/>
      <c r="D107" s="386"/>
      <c r="E107" s="250" t="str">
        <f>IFERROR(VLOOKUP($D107,'Apoio - Mat Coletivo e Equip'!$A:$D,2,FALSE),"")</f>
        <v/>
      </c>
      <c r="F107" s="449"/>
      <c r="G107" s="743" t="str">
        <f>IFERROR(VLOOKUP($D107,'Apoio - Mat Coletivo e Equip'!$A:$D,3,FALSE),"")</f>
        <v/>
      </c>
      <c r="H107" s="742" t="str">
        <f>IFERROR(IF(VLOOKUP($D107,'Apoio - Mat Coletivo e Equip'!$A:$D,4,FALSE)=0,"",VLOOKUP($D107,'Apoio - Mat Coletivo e Equip'!$A:$D,4,FALSE)),"")</f>
        <v/>
      </c>
      <c r="I107" s="774" t="str">
        <f>IFERROR(ROUND((IF(ISNUMBER(H107),H107*'Mão de Obra'!$D$12/12,1)*G107*F107)/'Mão de Obra'!$D$12,2),"")</f>
        <v/>
      </c>
      <c r="J107" s="774" t="str">
        <f>IFERROR(ROUND(I107*(1+
SUM(
IFERROR(SUMPRODUCT('Mão de Obra'!$E$169:$II$169,'Mão de Obra'!$E$29:$II$29),0),
IFERROR(SUMPRODUCT(Produtividade!$E$171:$II$171,Produtividade!$E$29:$II$29),0),
IFERROR(SUMPRODUCT(Veículos!$E$81:$II$81,Veículos!$E$4:$II$4),0)
)
/
Proposta!$J$62),2),"")</f>
        <v/>
      </c>
    </row>
    <row r="108" spans="2:10" s="42" customFormat="1">
      <c r="B108" s="250">
        <v>103</v>
      </c>
      <c r="C108" s="250"/>
      <c r="D108" s="386"/>
      <c r="E108" s="250" t="str">
        <f>IFERROR(VLOOKUP($D108,'Apoio - Mat Coletivo e Equip'!$A:$D,2,FALSE),"")</f>
        <v/>
      </c>
      <c r="F108" s="449"/>
      <c r="G108" s="743" t="str">
        <f>IFERROR(VLOOKUP($D108,'Apoio - Mat Coletivo e Equip'!$A:$D,3,FALSE),"")</f>
        <v/>
      </c>
      <c r="H108" s="742" t="str">
        <f>IFERROR(IF(VLOOKUP($D108,'Apoio - Mat Coletivo e Equip'!$A:$D,4,FALSE)=0,"",VLOOKUP($D108,'Apoio - Mat Coletivo e Equip'!$A:$D,4,FALSE)),"")</f>
        <v/>
      </c>
      <c r="I108" s="774" t="str">
        <f>IFERROR(ROUND((IF(ISNUMBER(H108),H108*'Mão de Obra'!$D$12/12,1)*G108*F108)/'Mão de Obra'!$D$12,2),"")</f>
        <v/>
      </c>
      <c r="J108" s="774" t="str">
        <f>IFERROR(ROUND(I108*(1+
SUM(
IFERROR(SUMPRODUCT('Mão de Obra'!$E$169:$II$169,'Mão de Obra'!$E$29:$II$29),0),
IFERROR(SUMPRODUCT(Produtividade!$E$171:$II$171,Produtividade!$E$29:$II$29),0),
IFERROR(SUMPRODUCT(Veículos!$E$81:$II$81,Veículos!$E$4:$II$4),0)
)
/
Proposta!$J$62),2),"")</f>
        <v/>
      </c>
    </row>
    <row r="109" spans="2:10" s="42" customFormat="1">
      <c r="B109" s="250">
        <v>104</v>
      </c>
      <c r="C109" s="250"/>
      <c r="D109" s="386"/>
      <c r="E109" s="250" t="str">
        <f>IFERROR(VLOOKUP($D109,'Apoio - Mat Coletivo e Equip'!$A:$D,2,FALSE),"")</f>
        <v/>
      </c>
      <c r="F109" s="449"/>
      <c r="G109" s="743" t="str">
        <f>IFERROR(VLOOKUP($D109,'Apoio - Mat Coletivo e Equip'!$A:$D,3,FALSE),"")</f>
        <v/>
      </c>
      <c r="H109" s="742" t="str">
        <f>IFERROR(IF(VLOOKUP($D109,'Apoio - Mat Coletivo e Equip'!$A:$D,4,FALSE)=0,"",VLOOKUP($D109,'Apoio - Mat Coletivo e Equip'!$A:$D,4,FALSE)),"")</f>
        <v/>
      </c>
      <c r="I109" s="774" t="str">
        <f>IFERROR(ROUND((IF(ISNUMBER(H109),H109*'Mão de Obra'!$D$12/12,1)*G109*F109)/'Mão de Obra'!$D$12,2),"")</f>
        <v/>
      </c>
      <c r="J109" s="774" t="str">
        <f>IFERROR(ROUND(I109*(1+
SUM(
IFERROR(SUMPRODUCT('Mão de Obra'!$E$169:$II$169,'Mão de Obra'!$E$29:$II$29),0),
IFERROR(SUMPRODUCT(Produtividade!$E$171:$II$171,Produtividade!$E$29:$II$29),0),
IFERROR(SUMPRODUCT(Veículos!$E$81:$II$81,Veículos!$E$4:$II$4),0)
)
/
Proposta!$J$62),2),"")</f>
        <v/>
      </c>
    </row>
    <row r="110" spans="2:10" s="42" customFormat="1">
      <c r="B110" s="250">
        <v>105</v>
      </c>
      <c r="C110" s="250"/>
      <c r="D110" s="386"/>
      <c r="E110" s="250" t="str">
        <f>IFERROR(VLOOKUP($D110,'Apoio - Mat Coletivo e Equip'!$A:$D,2,FALSE),"")</f>
        <v/>
      </c>
      <c r="F110" s="449"/>
      <c r="G110" s="743" t="str">
        <f>IFERROR(VLOOKUP($D110,'Apoio - Mat Coletivo e Equip'!$A:$D,3,FALSE),"")</f>
        <v/>
      </c>
      <c r="H110" s="742" t="str">
        <f>IFERROR(IF(VLOOKUP($D110,'Apoio - Mat Coletivo e Equip'!$A:$D,4,FALSE)=0,"",VLOOKUP($D110,'Apoio - Mat Coletivo e Equip'!$A:$D,4,FALSE)),"")</f>
        <v/>
      </c>
      <c r="I110" s="774" t="str">
        <f>IFERROR(ROUND((IF(ISNUMBER(H110),H110*'Mão de Obra'!$D$12/12,1)*G110*F110)/'Mão de Obra'!$D$12,2),"")</f>
        <v/>
      </c>
      <c r="J110" s="774" t="str">
        <f>IFERROR(ROUND(I110*(1+
SUM(
IFERROR(SUMPRODUCT('Mão de Obra'!$E$169:$II$169,'Mão de Obra'!$E$29:$II$29),0),
IFERROR(SUMPRODUCT(Produtividade!$E$171:$II$171,Produtividade!$E$29:$II$29),0),
IFERROR(SUMPRODUCT(Veículos!$E$81:$II$81,Veículos!$E$4:$II$4),0)
)
/
Proposta!$J$62),2),"")</f>
        <v/>
      </c>
    </row>
    <row r="111" spans="2:10" s="42" customFormat="1">
      <c r="B111" s="250">
        <v>106</v>
      </c>
      <c r="C111" s="250"/>
      <c r="D111" s="386"/>
      <c r="E111" s="250" t="str">
        <f>IFERROR(VLOOKUP($D111,'Apoio - Mat Coletivo e Equip'!$A:$D,2,FALSE),"")</f>
        <v/>
      </c>
      <c r="F111" s="449"/>
      <c r="G111" s="743" t="str">
        <f>IFERROR(VLOOKUP($D111,'Apoio - Mat Coletivo e Equip'!$A:$D,3,FALSE),"")</f>
        <v/>
      </c>
      <c r="H111" s="742" t="str">
        <f>IFERROR(IF(VLOOKUP($D111,'Apoio - Mat Coletivo e Equip'!$A:$D,4,FALSE)=0,"",VLOOKUP($D111,'Apoio - Mat Coletivo e Equip'!$A:$D,4,FALSE)),"")</f>
        <v/>
      </c>
      <c r="I111" s="774" t="str">
        <f>IFERROR(ROUND((IF(ISNUMBER(H111),H111*'Mão de Obra'!$D$12/12,1)*G111*F111)/'Mão de Obra'!$D$12,2),"")</f>
        <v/>
      </c>
      <c r="J111" s="774" t="str">
        <f>IFERROR(ROUND(I111*(1+
SUM(
IFERROR(SUMPRODUCT('Mão de Obra'!$E$169:$II$169,'Mão de Obra'!$E$29:$II$29),0),
IFERROR(SUMPRODUCT(Produtividade!$E$171:$II$171,Produtividade!$E$29:$II$29),0),
IFERROR(SUMPRODUCT(Veículos!$E$81:$II$81,Veículos!$E$4:$II$4),0)
)
/
Proposta!$J$62),2),"")</f>
        <v/>
      </c>
    </row>
    <row r="112" spans="2:10" s="42" customFormat="1">
      <c r="B112" s="250">
        <v>107</v>
      </c>
      <c r="C112" s="250"/>
      <c r="D112" s="386"/>
      <c r="E112" s="250" t="str">
        <f>IFERROR(VLOOKUP($D112,'Apoio - Mat Coletivo e Equip'!$A:$D,2,FALSE),"")</f>
        <v/>
      </c>
      <c r="F112" s="449"/>
      <c r="G112" s="743" t="str">
        <f>IFERROR(VLOOKUP($D112,'Apoio - Mat Coletivo e Equip'!$A:$D,3,FALSE),"")</f>
        <v/>
      </c>
      <c r="H112" s="742" t="str">
        <f>IFERROR(IF(VLOOKUP($D112,'Apoio - Mat Coletivo e Equip'!$A:$D,4,FALSE)=0,"",VLOOKUP($D112,'Apoio - Mat Coletivo e Equip'!$A:$D,4,FALSE)),"")</f>
        <v/>
      </c>
      <c r="I112" s="774" t="str">
        <f>IFERROR(ROUND((IF(ISNUMBER(H112),H112*'Mão de Obra'!$D$12/12,1)*G112*F112)/'Mão de Obra'!$D$12,2),"")</f>
        <v/>
      </c>
      <c r="J112" s="774" t="str">
        <f>IFERROR(ROUND(I112*(1+
SUM(
IFERROR(SUMPRODUCT('Mão de Obra'!$E$169:$II$169,'Mão de Obra'!$E$29:$II$29),0),
IFERROR(SUMPRODUCT(Produtividade!$E$171:$II$171,Produtividade!$E$29:$II$29),0),
IFERROR(SUMPRODUCT(Veículos!$E$81:$II$81,Veículos!$E$4:$II$4),0)
)
/
Proposta!$J$62),2),"")</f>
        <v/>
      </c>
    </row>
    <row r="113" spans="2:10" s="42" customFormat="1">
      <c r="B113" s="250">
        <v>108</v>
      </c>
      <c r="C113" s="250"/>
      <c r="D113" s="386"/>
      <c r="E113" s="250" t="str">
        <f>IFERROR(VLOOKUP($D113,'Apoio - Mat Coletivo e Equip'!$A:$D,2,FALSE),"")</f>
        <v/>
      </c>
      <c r="F113" s="449"/>
      <c r="G113" s="743" t="str">
        <f>IFERROR(VLOOKUP($D113,'Apoio - Mat Coletivo e Equip'!$A:$D,3,FALSE),"")</f>
        <v/>
      </c>
      <c r="H113" s="742" t="str">
        <f>IFERROR(IF(VLOOKUP($D113,'Apoio - Mat Coletivo e Equip'!$A:$D,4,FALSE)=0,"",VLOOKUP($D113,'Apoio - Mat Coletivo e Equip'!$A:$D,4,FALSE)),"")</f>
        <v/>
      </c>
      <c r="I113" s="774" t="str">
        <f>IFERROR(ROUND((IF(ISNUMBER(H113),H113*'Mão de Obra'!$D$12/12,1)*G113*F113)/'Mão de Obra'!$D$12,2),"")</f>
        <v/>
      </c>
      <c r="J113" s="774" t="str">
        <f>IFERROR(ROUND(I113*(1+
SUM(
IFERROR(SUMPRODUCT('Mão de Obra'!$E$169:$II$169,'Mão de Obra'!$E$29:$II$29),0),
IFERROR(SUMPRODUCT(Produtividade!$E$171:$II$171,Produtividade!$E$29:$II$29),0),
IFERROR(SUMPRODUCT(Veículos!$E$81:$II$81,Veículos!$E$4:$II$4),0)
)
/
Proposta!$J$62),2),"")</f>
        <v/>
      </c>
    </row>
    <row r="114" spans="2:10" s="42" customFormat="1">
      <c r="B114" s="250">
        <v>109</v>
      </c>
      <c r="C114" s="250"/>
      <c r="D114" s="386"/>
      <c r="E114" s="250" t="str">
        <f>IFERROR(VLOOKUP($D114,'Apoio - Mat Coletivo e Equip'!$A:$D,2,FALSE),"")</f>
        <v/>
      </c>
      <c r="F114" s="449"/>
      <c r="G114" s="743" t="str">
        <f>IFERROR(VLOOKUP($D114,'Apoio - Mat Coletivo e Equip'!$A:$D,3,FALSE),"")</f>
        <v/>
      </c>
      <c r="H114" s="742" t="str">
        <f>IFERROR(IF(VLOOKUP($D114,'Apoio - Mat Coletivo e Equip'!$A:$D,4,FALSE)=0,"",VLOOKUP($D114,'Apoio - Mat Coletivo e Equip'!$A:$D,4,FALSE)),"")</f>
        <v/>
      </c>
      <c r="I114" s="774" t="str">
        <f>IFERROR(ROUND((IF(ISNUMBER(H114),H114*'Mão de Obra'!$D$12/12,1)*G114*F114)/'Mão de Obra'!$D$12,2),"")</f>
        <v/>
      </c>
      <c r="J114" s="774" t="str">
        <f>IFERROR(ROUND(I114*(1+
SUM(
IFERROR(SUMPRODUCT('Mão de Obra'!$E$169:$II$169,'Mão de Obra'!$E$29:$II$29),0),
IFERROR(SUMPRODUCT(Produtividade!$E$171:$II$171,Produtividade!$E$29:$II$29),0),
IFERROR(SUMPRODUCT(Veículos!$E$81:$II$81,Veículos!$E$4:$II$4),0)
)
/
Proposta!$J$62),2),"")</f>
        <v/>
      </c>
    </row>
    <row r="115" spans="2:10" s="42" customFormat="1">
      <c r="B115" s="250">
        <v>110</v>
      </c>
      <c r="C115" s="250"/>
      <c r="D115" s="386"/>
      <c r="E115" s="250" t="str">
        <f>IFERROR(VLOOKUP($D115,'Apoio - Mat Coletivo e Equip'!$A:$D,2,FALSE),"")</f>
        <v/>
      </c>
      <c r="F115" s="449"/>
      <c r="G115" s="743" t="str">
        <f>IFERROR(VLOOKUP($D115,'Apoio - Mat Coletivo e Equip'!$A:$D,3,FALSE),"")</f>
        <v/>
      </c>
      <c r="H115" s="742" t="str">
        <f>IFERROR(IF(VLOOKUP($D115,'Apoio - Mat Coletivo e Equip'!$A:$D,4,FALSE)=0,"",VLOOKUP($D115,'Apoio - Mat Coletivo e Equip'!$A:$D,4,FALSE)),"")</f>
        <v/>
      </c>
      <c r="I115" s="774" t="str">
        <f>IFERROR(ROUND((IF(ISNUMBER(H115),H115*'Mão de Obra'!$D$12/12,1)*G115*F115)/'Mão de Obra'!$D$12,2),"")</f>
        <v/>
      </c>
      <c r="J115" s="774" t="str">
        <f>IFERROR(ROUND(I115*(1+
SUM(
IFERROR(SUMPRODUCT('Mão de Obra'!$E$169:$II$169,'Mão de Obra'!$E$29:$II$29),0),
IFERROR(SUMPRODUCT(Produtividade!$E$171:$II$171,Produtividade!$E$29:$II$29),0),
IFERROR(SUMPRODUCT(Veículos!$E$81:$II$81,Veículos!$E$4:$II$4),0)
)
/
Proposta!$J$62),2),"")</f>
        <v/>
      </c>
    </row>
    <row r="116" spans="2:10" s="42" customFormat="1">
      <c r="B116" s="250">
        <v>111</v>
      </c>
      <c r="C116" s="250"/>
      <c r="D116" s="386"/>
      <c r="E116" s="250" t="str">
        <f>IFERROR(VLOOKUP($D116,'Apoio - Mat Coletivo e Equip'!$A:$D,2,FALSE),"")</f>
        <v/>
      </c>
      <c r="F116" s="449"/>
      <c r="G116" s="743" t="str">
        <f>IFERROR(VLOOKUP($D116,'Apoio - Mat Coletivo e Equip'!$A:$D,3,FALSE),"")</f>
        <v/>
      </c>
      <c r="H116" s="742" t="str">
        <f>IFERROR(IF(VLOOKUP($D116,'Apoio - Mat Coletivo e Equip'!$A:$D,4,FALSE)=0,"",VLOOKUP($D116,'Apoio - Mat Coletivo e Equip'!$A:$D,4,FALSE)),"")</f>
        <v/>
      </c>
      <c r="I116" s="774" t="str">
        <f>IFERROR(ROUND((IF(ISNUMBER(H116),H116*'Mão de Obra'!$D$12/12,1)*G116*F116)/'Mão de Obra'!$D$12,2),"")</f>
        <v/>
      </c>
      <c r="J116" s="774" t="str">
        <f>IFERROR(ROUND(I116*(1+
SUM(
IFERROR(SUMPRODUCT('Mão de Obra'!$E$169:$II$169,'Mão de Obra'!$E$29:$II$29),0),
IFERROR(SUMPRODUCT(Produtividade!$E$171:$II$171,Produtividade!$E$29:$II$29),0),
IFERROR(SUMPRODUCT(Veículos!$E$81:$II$81,Veículos!$E$4:$II$4),0)
)
/
Proposta!$J$62),2),"")</f>
        <v/>
      </c>
    </row>
    <row r="117" spans="2:10" s="42" customFormat="1">
      <c r="B117" s="250">
        <v>112</v>
      </c>
      <c r="C117" s="250"/>
      <c r="D117" s="386"/>
      <c r="E117" s="250" t="str">
        <f>IFERROR(VLOOKUP($D117,'Apoio - Mat Coletivo e Equip'!$A:$D,2,FALSE),"")</f>
        <v/>
      </c>
      <c r="F117" s="449"/>
      <c r="G117" s="743" t="str">
        <f>IFERROR(VLOOKUP($D117,'Apoio - Mat Coletivo e Equip'!$A:$D,3,FALSE),"")</f>
        <v/>
      </c>
      <c r="H117" s="742" t="str">
        <f>IFERROR(IF(VLOOKUP($D117,'Apoio - Mat Coletivo e Equip'!$A:$D,4,FALSE)=0,"",VLOOKUP($D117,'Apoio - Mat Coletivo e Equip'!$A:$D,4,FALSE)),"")</f>
        <v/>
      </c>
      <c r="I117" s="774" t="str">
        <f>IFERROR(ROUND((IF(ISNUMBER(H117),H117*'Mão de Obra'!$D$12/12,1)*G117*F117)/'Mão de Obra'!$D$12,2),"")</f>
        <v/>
      </c>
      <c r="J117" s="774" t="str">
        <f>IFERROR(ROUND(I117*(1+
SUM(
IFERROR(SUMPRODUCT('Mão de Obra'!$E$169:$II$169,'Mão de Obra'!$E$29:$II$29),0),
IFERROR(SUMPRODUCT(Produtividade!$E$171:$II$171,Produtividade!$E$29:$II$29),0),
IFERROR(SUMPRODUCT(Veículos!$E$81:$II$81,Veículos!$E$4:$II$4),0)
)
/
Proposta!$J$62),2),"")</f>
        <v/>
      </c>
    </row>
    <row r="118" spans="2:10" s="42" customFormat="1">
      <c r="B118" s="250">
        <v>113</v>
      </c>
      <c r="C118" s="250"/>
      <c r="D118" s="386"/>
      <c r="E118" s="250" t="str">
        <f>IFERROR(VLOOKUP($D118,'Apoio - Mat Coletivo e Equip'!$A:$D,2,FALSE),"")</f>
        <v/>
      </c>
      <c r="F118" s="449"/>
      <c r="G118" s="743" t="str">
        <f>IFERROR(VLOOKUP($D118,'Apoio - Mat Coletivo e Equip'!$A:$D,3,FALSE),"")</f>
        <v/>
      </c>
      <c r="H118" s="742" t="str">
        <f>IFERROR(IF(VLOOKUP($D118,'Apoio - Mat Coletivo e Equip'!$A:$D,4,FALSE)=0,"",VLOOKUP($D118,'Apoio - Mat Coletivo e Equip'!$A:$D,4,FALSE)),"")</f>
        <v/>
      </c>
      <c r="I118" s="774" t="str">
        <f>IFERROR(ROUND((IF(ISNUMBER(H118),H118*'Mão de Obra'!$D$12/12,1)*G118*F118)/'Mão de Obra'!$D$12,2),"")</f>
        <v/>
      </c>
      <c r="J118" s="774" t="str">
        <f>IFERROR(ROUND(I118*(1+
SUM(
IFERROR(SUMPRODUCT('Mão de Obra'!$E$169:$II$169,'Mão de Obra'!$E$29:$II$29),0),
IFERROR(SUMPRODUCT(Produtividade!$E$171:$II$171,Produtividade!$E$29:$II$29),0),
IFERROR(SUMPRODUCT(Veículos!$E$81:$II$81,Veículos!$E$4:$II$4),0)
)
/
Proposta!$J$62),2),"")</f>
        <v/>
      </c>
    </row>
    <row r="119" spans="2:10" s="42" customFormat="1">
      <c r="B119" s="250">
        <v>114</v>
      </c>
      <c r="C119" s="250"/>
      <c r="D119" s="386"/>
      <c r="E119" s="250" t="str">
        <f>IFERROR(VLOOKUP($D119,'Apoio - Mat Coletivo e Equip'!$A:$D,2,FALSE),"")</f>
        <v/>
      </c>
      <c r="F119" s="449"/>
      <c r="G119" s="743" t="str">
        <f>IFERROR(VLOOKUP($D119,'Apoio - Mat Coletivo e Equip'!$A:$D,3,FALSE),"")</f>
        <v/>
      </c>
      <c r="H119" s="742" t="str">
        <f>IFERROR(IF(VLOOKUP($D119,'Apoio - Mat Coletivo e Equip'!$A:$D,4,FALSE)=0,"",VLOOKUP($D119,'Apoio - Mat Coletivo e Equip'!$A:$D,4,FALSE)),"")</f>
        <v/>
      </c>
      <c r="I119" s="774" t="str">
        <f>IFERROR(ROUND((IF(ISNUMBER(H119),H119*'Mão de Obra'!$D$12/12,1)*G119*F119)/'Mão de Obra'!$D$12,2),"")</f>
        <v/>
      </c>
      <c r="J119" s="774" t="str">
        <f>IFERROR(ROUND(I119*(1+
SUM(
IFERROR(SUMPRODUCT('Mão de Obra'!$E$169:$II$169,'Mão de Obra'!$E$29:$II$29),0),
IFERROR(SUMPRODUCT(Produtividade!$E$171:$II$171,Produtividade!$E$29:$II$29),0),
IFERROR(SUMPRODUCT(Veículos!$E$81:$II$81,Veículos!$E$4:$II$4),0)
)
/
Proposta!$J$62),2),"")</f>
        <v/>
      </c>
    </row>
    <row r="120" spans="2:10" s="42" customFormat="1">
      <c r="B120" s="250">
        <v>115</v>
      </c>
      <c r="C120" s="250"/>
      <c r="D120" s="386"/>
      <c r="E120" s="250" t="str">
        <f>IFERROR(VLOOKUP($D120,'Apoio - Mat Coletivo e Equip'!$A:$D,2,FALSE),"")</f>
        <v/>
      </c>
      <c r="F120" s="449"/>
      <c r="G120" s="743" t="str">
        <f>IFERROR(VLOOKUP($D120,'Apoio - Mat Coletivo e Equip'!$A:$D,3,FALSE),"")</f>
        <v/>
      </c>
      <c r="H120" s="742" t="str">
        <f>IFERROR(IF(VLOOKUP($D120,'Apoio - Mat Coletivo e Equip'!$A:$D,4,FALSE)=0,"",VLOOKUP($D120,'Apoio - Mat Coletivo e Equip'!$A:$D,4,FALSE)),"")</f>
        <v/>
      </c>
      <c r="I120" s="774" t="str">
        <f>IFERROR(ROUND((IF(ISNUMBER(H120),H120*'Mão de Obra'!$D$12/12,1)*G120*F120)/'Mão de Obra'!$D$12,2),"")</f>
        <v/>
      </c>
      <c r="J120" s="774" t="str">
        <f>IFERROR(ROUND(I120*(1+
SUM(
IFERROR(SUMPRODUCT('Mão de Obra'!$E$169:$II$169,'Mão de Obra'!$E$29:$II$29),0),
IFERROR(SUMPRODUCT(Produtividade!$E$171:$II$171,Produtividade!$E$29:$II$29),0),
IFERROR(SUMPRODUCT(Veículos!$E$81:$II$81,Veículos!$E$4:$II$4),0)
)
/
Proposta!$J$62),2),"")</f>
        <v/>
      </c>
    </row>
    <row r="121" spans="2:10" s="42" customFormat="1">
      <c r="B121" s="250">
        <v>116</v>
      </c>
      <c r="C121" s="250"/>
      <c r="D121" s="386"/>
      <c r="E121" s="250" t="str">
        <f>IFERROR(VLOOKUP($D121,'Apoio - Mat Coletivo e Equip'!$A:$D,2,FALSE),"")</f>
        <v/>
      </c>
      <c r="F121" s="449"/>
      <c r="G121" s="743" t="str">
        <f>IFERROR(VLOOKUP($D121,'Apoio - Mat Coletivo e Equip'!$A:$D,3,FALSE),"")</f>
        <v/>
      </c>
      <c r="H121" s="742" t="str">
        <f>IFERROR(IF(VLOOKUP($D121,'Apoio - Mat Coletivo e Equip'!$A:$D,4,FALSE)=0,"",VLOOKUP($D121,'Apoio - Mat Coletivo e Equip'!$A:$D,4,FALSE)),"")</f>
        <v/>
      </c>
      <c r="I121" s="774" t="str">
        <f>IFERROR(ROUND((IF(ISNUMBER(H121),H121*'Mão de Obra'!$D$12/12,1)*G121*F121)/'Mão de Obra'!$D$12,2),"")</f>
        <v/>
      </c>
      <c r="J121" s="774" t="str">
        <f>IFERROR(ROUND(I121*(1+
SUM(
IFERROR(SUMPRODUCT('Mão de Obra'!$E$169:$II$169,'Mão de Obra'!$E$29:$II$29),0),
IFERROR(SUMPRODUCT(Produtividade!$E$171:$II$171,Produtividade!$E$29:$II$29),0),
IFERROR(SUMPRODUCT(Veículos!$E$81:$II$81,Veículos!$E$4:$II$4),0)
)
/
Proposta!$J$62),2),"")</f>
        <v/>
      </c>
    </row>
    <row r="122" spans="2:10" s="42" customFormat="1">
      <c r="B122" s="250">
        <v>117</v>
      </c>
      <c r="C122" s="250"/>
      <c r="D122" s="386"/>
      <c r="E122" s="250" t="str">
        <f>IFERROR(VLOOKUP($D122,'Apoio - Mat Coletivo e Equip'!$A:$D,2,FALSE),"")</f>
        <v/>
      </c>
      <c r="F122" s="449"/>
      <c r="G122" s="743" t="str">
        <f>IFERROR(VLOOKUP($D122,'Apoio - Mat Coletivo e Equip'!$A:$D,3,FALSE),"")</f>
        <v/>
      </c>
      <c r="H122" s="742" t="str">
        <f>IFERROR(IF(VLOOKUP($D122,'Apoio - Mat Coletivo e Equip'!$A:$D,4,FALSE)=0,"",VLOOKUP($D122,'Apoio - Mat Coletivo e Equip'!$A:$D,4,FALSE)),"")</f>
        <v/>
      </c>
      <c r="I122" s="774" t="str">
        <f>IFERROR(ROUND((IF(ISNUMBER(H122),H122*'Mão de Obra'!$D$12/12,1)*G122*F122)/'Mão de Obra'!$D$12,2),"")</f>
        <v/>
      </c>
      <c r="J122" s="774" t="str">
        <f>IFERROR(ROUND(I122*(1+
SUM(
IFERROR(SUMPRODUCT('Mão de Obra'!$E$169:$II$169,'Mão de Obra'!$E$29:$II$29),0),
IFERROR(SUMPRODUCT(Produtividade!$E$171:$II$171,Produtividade!$E$29:$II$29),0),
IFERROR(SUMPRODUCT(Veículos!$E$81:$II$81,Veículos!$E$4:$II$4),0)
)
/
Proposta!$J$62),2),"")</f>
        <v/>
      </c>
    </row>
    <row r="123" spans="2:10" s="42" customFormat="1">
      <c r="B123" s="250">
        <v>118</v>
      </c>
      <c r="C123" s="250"/>
      <c r="D123" s="386"/>
      <c r="E123" s="250" t="str">
        <f>IFERROR(VLOOKUP($D123,'Apoio - Mat Coletivo e Equip'!$A:$D,2,FALSE),"")</f>
        <v/>
      </c>
      <c r="F123" s="449"/>
      <c r="G123" s="743" t="str">
        <f>IFERROR(VLOOKUP($D123,'Apoio - Mat Coletivo e Equip'!$A:$D,3,FALSE),"")</f>
        <v/>
      </c>
      <c r="H123" s="742" t="str">
        <f>IFERROR(IF(VLOOKUP($D123,'Apoio - Mat Coletivo e Equip'!$A:$D,4,FALSE)=0,"",VLOOKUP($D123,'Apoio - Mat Coletivo e Equip'!$A:$D,4,FALSE)),"")</f>
        <v/>
      </c>
      <c r="I123" s="774" t="str">
        <f>IFERROR(ROUND((IF(ISNUMBER(H123),H123*'Mão de Obra'!$D$12/12,1)*G123*F123)/'Mão de Obra'!$D$12,2),"")</f>
        <v/>
      </c>
      <c r="J123" s="774" t="str">
        <f>IFERROR(ROUND(I123*(1+
SUM(
IFERROR(SUMPRODUCT('Mão de Obra'!$E$169:$II$169,'Mão de Obra'!$E$29:$II$29),0),
IFERROR(SUMPRODUCT(Produtividade!$E$171:$II$171,Produtividade!$E$29:$II$29),0),
IFERROR(SUMPRODUCT(Veículos!$E$81:$II$81,Veículos!$E$4:$II$4),0)
)
/
Proposta!$J$62),2),"")</f>
        <v/>
      </c>
    </row>
    <row r="124" spans="2:10" s="42" customFormat="1">
      <c r="B124" s="250">
        <v>119</v>
      </c>
      <c r="C124" s="250"/>
      <c r="D124" s="386"/>
      <c r="E124" s="250" t="str">
        <f>IFERROR(VLOOKUP($D124,'Apoio - Mat Coletivo e Equip'!$A:$D,2,FALSE),"")</f>
        <v/>
      </c>
      <c r="F124" s="449"/>
      <c r="G124" s="743" t="str">
        <f>IFERROR(VLOOKUP($D124,'Apoio - Mat Coletivo e Equip'!$A:$D,3,FALSE),"")</f>
        <v/>
      </c>
      <c r="H124" s="742" t="str">
        <f>IFERROR(IF(VLOOKUP($D124,'Apoio - Mat Coletivo e Equip'!$A:$D,4,FALSE)=0,"",VLOOKUP($D124,'Apoio - Mat Coletivo e Equip'!$A:$D,4,FALSE)),"")</f>
        <v/>
      </c>
      <c r="I124" s="774" t="str">
        <f>IFERROR(ROUND((IF(ISNUMBER(H124),H124*'Mão de Obra'!$D$12/12,1)*G124*F124)/'Mão de Obra'!$D$12,2),"")</f>
        <v/>
      </c>
      <c r="J124" s="774" t="str">
        <f>IFERROR(ROUND(I124*(1+
SUM(
IFERROR(SUMPRODUCT('Mão de Obra'!$E$169:$II$169,'Mão de Obra'!$E$29:$II$29),0),
IFERROR(SUMPRODUCT(Produtividade!$E$171:$II$171,Produtividade!$E$29:$II$29),0),
IFERROR(SUMPRODUCT(Veículos!$E$81:$II$81,Veículos!$E$4:$II$4),0)
)
/
Proposta!$J$62),2),"")</f>
        <v/>
      </c>
    </row>
    <row r="125" spans="2:10" s="42" customFormat="1">
      <c r="B125" s="250">
        <v>120</v>
      </c>
      <c r="C125" s="250"/>
      <c r="D125" s="386"/>
      <c r="E125" s="250" t="str">
        <f>IFERROR(VLOOKUP($D125,'Apoio - Mat Coletivo e Equip'!$A:$D,2,FALSE),"")</f>
        <v/>
      </c>
      <c r="F125" s="449"/>
      <c r="G125" s="743" t="str">
        <f>IFERROR(VLOOKUP($D125,'Apoio - Mat Coletivo e Equip'!$A:$D,3,FALSE),"")</f>
        <v/>
      </c>
      <c r="H125" s="742" t="str">
        <f>IFERROR(IF(VLOOKUP($D125,'Apoio - Mat Coletivo e Equip'!$A:$D,4,FALSE)=0,"",VLOOKUP($D125,'Apoio - Mat Coletivo e Equip'!$A:$D,4,FALSE)),"")</f>
        <v/>
      </c>
      <c r="I125" s="774" t="str">
        <f>IFERROR(ROUND((IF(ISNUMBER(H125),H125*'Mão de Obra'!$D$12/12,1)*G125*F125)/'Mão de Obra'!$D$12,2),"")</f>
        <v/>
      </c>
      <c r="J125" s="774" t="str">
        <f>IFERROR(ROUND(I125*(1+
SUM(
IFERROR(SUMPRODUCT('Mão de Obra'!$E$169:$II$169,'Mão de Obra'!$E$29:$II$29),0),
IFERROR(SUMPRODUCT(Produtividade!$E$171:$II$171,Produtividade!$E$29:$II$29),0),
IFERROR(SUMPRODUCT(Veículos!$E$81:$II$81,Veículos!$E$4:$II$4),0)
)
/
Proposta!$J$62),2),"")</f>
        <v/>
      </c>
    </row>
    <row r="126" spans="2:10" s="42" customFormat="1">
      <c r="B126" s="250">
        <v>121</v>
      </c>
      <c r="C126" s="250"/>
      <c r="D126" s="386"/>
      <c r="E126" s="250" t="str">
        <f>IFERROR(VLOOKUP($D126,'Apoio - Mat Coletivo e Equip'!$A:$D,2,FALSE),"")</f>
        <v/>
      </c>
      <c r="F126" s="449"/>
      <c r="G126" s="743" t="str">
        <f>IFERROR(VLOOKUP($D126,'Apoio - Mat Coletivo e Equip'!$A:$D,3,FALSE),"")</f>
        <v/>
      </c>
      <c r="H126" s="742" t="str">
        <f>IFERROR(IF(VLOOKUP($D126,'Apoio - Mat Coletivo e Equip'!$A:$D,4,FALSE)=0,"",VLOOKUP($D126,'Apoio - Mat Coletivo e Equip'!$A:$D,4,FALSE)),"")</f>
        <v/>
      </c>
      <c r="I126" s="774" t="str">
        <f>IFERROR(ROUND((IF(ISNUMBER(H126),H126*'Mão de Obra'!$D$12/12,1)*G126*F126)/'Mão de Obra'!$D$12,2),"")</f>
        <v/>
      </c>
      <c r="J126" s="774" t="str">
        <f>IFERROR(ROUND(I126*(1+
SUM(
IFERROR(SUMPRODUCT('Mão de Obra'!$E$169:$II$169,'Mão de Obra'!$E$29:$II$29),0),
IFERROR(SUMPRODUCT(Produtividade!$E$171:$II$171,Produtividade!$E$29:$II$29),0),
IFERROR(SUMPRODUCT(Veículos!$E$81:$II$81,Veículos!$E$4:$II$4),0)
)
/
Proposta!$J$62),2),"")</f>
        <v/>
      </c>
    </row>
    <row r="127" spans="2:10" s="42" customFormat="1">
      <c r="B127" s="250">
        <v>122</v>
      </c>
      <c r="C127" s="250"/>
      <c r="D127" s="386"/>
      <c r="E127" s="250" t="str">
        <f>IFERROR(VLOOKUP($D127,'Apoio - Mat Coletivo e Equip'!$A:$D,2,FALSE),"")</f>
        <v/>
      </c>
      <c r="F127" s="449"/>
      <c r="G127" s="743" t="str">
        <f>IFERROR(VLOOKUP($D127,'Apoio - Mat Coletivo e Equip'!$A:$D,3,FALSE),"")</f>
        <v/>
      </c>
      <c r="H127" s="742" t="str">
        <f>IFERROR(IF(VLOOKUP($D127,'Apoio - Mat Coletivo e Equip'!$A:$D,4,FALSE)=0,"",VLOOKUP($D127,'Apoio - Mat Coletivo e Equip'!$A:$D,4,FALSE)),"")</f>
        <v/>
      </c>
      <c r="I127" s="774" t="str">
        <f>IFERROR(ROUND((IF(ISNUMBER(H127),H127*'Mão de Obra'!$D$12/12,1)*G127*F127)/'Mão de Obra'!$D$12,2),"")</f>
        <v/>
      </c>
      <c r="J127" s="774" t="str">
        <f>IFERROR(ROUND(I127*(1+
SUM(
IFERROR(SUMPRODUCT('Mão de Obra'!$E$169:$II$169,'Mão de Obra'!$E$29:$II$29),0),
IFERROR(SUMPRODUCT(Produtividade!$E$171:$II$171,Produtividade!$E$29:$II$29),0),
IFERROR(SUMPRODUCT(Veículos!$E$81:$II$81,Veículos!$E$4:$II$4),0)
)
/
Proposta!$J$62),2),"")</f>
        <v/>
      </c>
    </row>
    <row r="128" spans="2:10" s="42" customFormat="1">
      <c r="B128" s="250">
        <v>123</v>
      </c>
      <c r="C128" s="250"/>
      <c r="D128" s="386"/>
      <c r="E128" s="250" t="str">
        <f>IFERROR(VLOOKUP($D128,'Apoio - Mat Coletivo e Equip'!$A:$D,2,FALSE),"")</f>
        <v/>
      </c>
      <c r="F128" s="449"/>
      <c r="G128" s="743" t="str">
        <f>IFERROR(VLOOKUP($D128,'Apoio - Mat Coletivo e Equip'!$A:$D,3,FALSE),"")</f>
        <v/>
      </c>
      <c r="H128" s="742" t="str">
        <f>IFERROR(IF(VLOOKUP($D128,'Apoio - Mat Coletivo e Equip'!$A:$D,4,FALSE)=0,"",VLOOKUP($D128,'Apoio - Mat Coletivo e Equip'!$A:$D,4,FALSE)),"")</f>
        <v/>
      </c>
      <c r="I128" s="774" t="str">
        <f>IFERROR(ROUND((IF(ISNUMBER(H128),H128*'Mão de Obra'!$D$12/12,1)*G128*F128)/'Mão de Obra'!$D$12,2),"")</f>
        <v/>
      </c>
      <c r="J128" s="774" t="str">
        <f>IFERROR(ROUND(I128*(1+
SUM(
IFERROR(SUMPRODUCT('Mão de Obra'!$E$169:$II$169,'Mão de Obra'!$E$29:$II$29),0),
IFERROR(SUMPRODUCT(Produtividade!$E$171:$II$171,Produtividade!$E$29:$II$29),0),
IFERROR(SUMPRODUCT(Veículos!$E$81:$II$81,Veículos!$E$4:$II$4),0)
)
/
Proposta!$J$62),2),"")</f>
        <v/>
      </c>
    </row>
    <row r="129" spans="2:10" s="42" customFormat="1">
      <c r="B129" s="250">
        <v>124</v>
      </c>
      <c r="C129" s="250"/>
      <c r="D129" s="386"/>
      <c r="E129" s="250" t="str">
        <f>IFERROR(VLOOKUP($D129,'Apoio - Mat Coletivo e Equip'!$A:$D,2,FALSE),"")</f>
        <v/>
      </c>
      <c r="F129" s="449"/>
      <c r="G129" s="743" t="str">
        <f>IFERROR(VLOOKUP($D129,'Apoio - Mat Coletivo e Equip'!$A:$D,3,FALSE),"")</f>
        <v/>
      </c>
      <c r="H129" s="742" t="str">
        <f>IFERROR(IF(VLOOKUP($D129,'Apoio - Mat Coletivo e Equip'!$A:$D,4,FALSE)=0,"",VLOOKUP($D129,'Apoio - Mat Coletivo e Equip'!$A:$D,4,FALSE)),"")</f>
        <v/>
      </c>
      <c r="I129" s="774" t="str">
        <f>IFERROR(ROUND((IF(ISNUMBER(H129),H129*'Mão de Obra'!$D$12/12,1)*G129*F129)/'Mão de Obra'!$D$12,2),"")</f>
        <v/>
      </c>
      <c r="J129" s="774" t="str">
        <f>IFERROR(ROUND(I129*(1+
SUM(
IFERROR(SUMPRODUCT('Mão de Obra'!$E$169:$II$169,'Mão de Obra'!$E$29:$II$29),0),
IFERROR(SUMPRODUCT(Produtividade!$E$171:$II$171,Produtividade!$E$29:$II$29),0),
IFERROR(SUMPRODUCT(Veículos!$E$81:$II$81,Veículos!$E$4:$II$4),0)
)
/
Proposta!$J$62),2),"")</f>
        <v/>
      </c>
    </row>
    <row r="130" spans="2:10" s="42" customFormat="1">
      <c r="B130" s="250">
        <v>125</v>
      </c>
      <c r="C130" s="250"/>
      <c r="D130" s="386"/>
      <c r="E130" s="250" t="str">
        <f>IFERROR(VLOOKUP($D130,'Apoio - Mat Coletivo e Equip'!$A:$D,2,FALSE),"")</f>
        <v/>
      </c>
      <c r="F130" s="449"/>
      <c r="G130" s="743" t="str">
        <f>IFERROR(VLOOKUP($D130,'Apoio - Mat Coletivo e Equip'!$A:$D,3,FALSE),"")</f>
        <v/>
      </c>
      <c r="H130" s="742" t="str">
        <f>IFERROR(IF(VLOOKUP($D130,'Apoio - Mat Coletivo e Equip'!$A:$D,4,FALSE)=0,"",VLOOKUP($D130,'Apoio - Mat Coletivo e Equip'!$A:$D,4,FALSE)),"")</f>
        <v/>
      </c>
      <c r="I130" s="774" t="str">
        <f>IFERROR(ROUND((IF(ISNUMBER(H130),H130*'Mão de Obra'!$D$12/12,1)*G130*F130)/'Mão de Obra'!$D$12,2),"")</f>
        <v/>
      </c>
      <c r="J130" s="774" t="str">
        <f>IFERROR(ROUND(I130*(1+
SUM(
IFERROR(SUMPRODUCT('Mão de Obra'!$E$169:$II$169,'Mão de Obra'!$E$29:$II$29),0),
IFERROR(SUMPRODUCT(Produtividade!$E$171:$II$171,Produtividade!$E$29:$II$29),0),
IFERROR(SUMPRODUCT(Veículos!$E$81:$II$81,Veículos!$E$4:$II$4),0)
)
/
Proposta!$J$62),2),"")</f>
        <v/>
      </c>
    </row>
    <row r="131" spans="2:10" s="42" customFormat="1">
      <c r="B131" s="250">
        <v>126</v>
      </c>
      <c r="C131" s="250"/>
      <c r="D131" s="386"/>
      <c r="E131" s="250" t="str">
        <f>IFERROR(VLOOKUP($D131,'Apoio - Mat Coletivo e Equip'!$A:$D,2,FALSE),"")</f>
        <v/>
      </c>
      <c r="F131" s="449"/>
      <c r="G131" s="743" t="str">
        <f>IFERROR(VLOOKUP($D131,'Apoio - Mat Coletivo e Equip'!$A:$D,3,FALSE),"")</f>
        <v/>
      </c>
      <c r="H131" s="742" t="str">
        <f>IFERROR(IF(VLOOKUP($D131,'Apoio - Mat Coletivo e Equip'!$A:$D,4,FALSE)=0,"",VLOOKUP($D131,'Apoio - Mat Coletivo e Equip'!$A:$D,4,FALSE)),"")</f>
        <v/>
      </c>
      <c r="I131" s="774" t="str">
        <f>IFERROR(ROUND((IF(ISNUMBER(H131),H131*'Mão de Obra'!$D$12/12,1)*G131*F131)/'Mão de Obra'!$D$12,2),"")</f>
        <v/>
      </c>
      <c r="J131" s="774" t="str">
        <f>IFERROR(ROUND(I131*(1+
SUM(
IFERROR(SUMPRODUCT('Mão de Obra'!$E$169:$II$169,'Mão de Obra'!$E$29:$II$29),0),
IFERROR(SUMPRODUCT(Produtividade!$E$171:$II$171,Produtividade!$E$29:$II$29),0),
IFERROR(SUMPRODUCT(Veículos!$E$81:$II$81,Veículos!$E$4:$II$4),0)
)
/
Proposta!$J$62),2),"")</f>
        <v/>
      </c>
    </row>
    <row r="132" spans="2:10" s="42" customFormat="1">
      <c r="B132" s="250">
        <v>127</v>
      </c>
      <c r="C132" s="250"/>
      <c r="D132" s="386"/>
      <c r="E132" s="250" t="str">
        <f>IFERROR(VLOOKUP($D132,'Apoio - Mat Coletivo e Equip'!$A:$D,2,FALSE),"")</f>
        <v/>
      </c>
      <c r="F132" s="449"/>
      <c r="G132" s="743" t="str">
        <f>IFERROR(VLOOKUP($D132,'Apoio - Mat Coletivo e Equip'!$A:$D,3,FALSE),"")</f>
        <v/>
      </c>
      <c r="H132" s="742" t="str">
        <f>IFERROR(IF(VLOOKUP($D132,'Apoio - Mat Coletivo e Equip'!$A:$D,4,FALSE)=0,"",VLOOKUP($D132,'Apoio - Mat Coletivo e Equip'!$A:$D,4,FALSE)),"")</f>
        <v/>
      </c>
      <c r="I132" s="774" t="str">
        <f>IFERROR(ROUND((IF(ISNUMBER(H132),H132*'Mão de Obra'!$D$12/12,1)*G132*F132)/'Mão de Obra'!$D$12,2),"")</f>
        <v/>
      </c>
      <c r="J132" s="774" t="str">
        <f>IFERROR(ROUND(I132*(1+
SUM(
IFERROR(SUMPRODUCT('Mão de Obra'!$E$169:$II$169,'Mão de Obra'!$E$29:$II$29),0),
IFERROR(SUMPRODUCT(Produtividade!$E$171:$II$171,Produtividade!$E$29:$II$29),0),
IFERROR(SUMPRODUCT(Veículos!$E$81:$II$81,Veículos!$E$4:$II$4),0)
)
/
Proposta!$J$62),2),"")</f>
        <v/>
      </c>
    </row>
    <row r="133" spans="2:10" s="42" customFormat="1">
      <c r="B133" s="250">
        <v>128</v>
      </c>
      <c r="C133" s="250"/>
      <c r="D133" s="386"/>
      <c r="E133" s="250" t="str">
        <f>IFERROR(VLOOKUP($D133,'Apoio - Mat Coletivo e Equip'!$A:$D,2,FALSE),"")</f>
        <v/>
      </c>
      <c r="F133" s="449"/>
      <c r="G133" s="743" t="str">
        <f>IFERROR(VLOOKUP($D133,'Apoio - Mat Coletivo e Equip'!$A:$D,3,FALSE),"")</f>
        <v/>
      </c>
      <c r="H133" s="742" t="str">
        <f>IFERROR(IF(VLOOKUP($D133,'Apoio - Mat Coletivo e Equip'!$A:$D,4,FALSE)=0,"",VLOOKUP($D133,'Apoio - Mat Coletivo e Equip'!$A:$D,4,FALSE)),"")</f>
        <v/>
      </c>
      <c r="I133" s="774" t="str">
        <f>IFERROR(ROUND((IF(ISNUMBER(H133),H133*'Mão de Obra'!$D$12/12,1)*G133*F133)/'Mão de Obra'!$D$12,2),"")</f>
        <v/>
      </c>
      <c r="J133" s="774" t="str">
        <f>IFERROR(ROUND(I133*(1+
SUM(
IFERROR(SUMPRODUCT('Mão de Obra'!$E$169:$II$169,'Mão de Obra'!$E$29:$II$29),0),
IFERROR(SUMPRODUCT(Produtividade!$E$171:$II$171,Produtividade!$E$29:$II$29),0),
IFERROR(SUMPRODUCT(Veículos!$E$81:$II$81,Veículos!$E$4:$II$4),0)
)
/
Proposta!$J$62),2),"")</f>
        <v/>
      </c>
    </row>
    <row r="134" spans="2:10" s="42" customFormat="1">
      <c r="B134" s="250">
        <v>129</v>
      </c>
      <c r="C134" s="250"/>
      <c r="D134" s="386"/>
      <c r="E134" s="250" t="str">
        <f>IFERROR(VLOOKUP($D134,'Apoio - Mat Coletivo e Equip'!$A:$D,2,FALSE),"")</f>
        <v/>
      </c>
      <c r="F134" s="449"/>
      <c r="G134" s="743" t="str">
        <f>IFERROR(VLOOKUP($D134,'Apoio - Mat Coletivo e Equip'!$A:$D,3,FALSE),"")</f>
        <v/>
      </c>
      <c r="H134" s="742" t="str">
        <f>IFERROR(IF(VLOOKUP($D134,'Apoio - Mat Coletivo e Equip'!$A:$D,4,FALSE)=0,"",VLOOKUP($D134,'Apoio - Mat Coletivo e Equip'!$A:$D,4,FALSE)),"")</f>
        <v/>
      </c>
      <c r="I134" s="774" t="str">
        <f>IFERROR(ROUND((IF(ISNUMBER(H134),H134*'Mão de Obra'!$D$12/12,1)*G134*F134)/'Mão de Obra'!$D$12,2),"")</f>
        <v/>
      </c>
      <c r="J134" s="774" t="str">
        <f>IFERROR(ROUND(I134*(1+
SUM(
IFERROR(SUMPRODUCT('Mão de Obra'!$E$169:$II$169,'Mão de Obra'!$E$29:$II$29),0),
IFERROR(SUMPRODUCT(Produtividade!$E$171:$II$171,Produtividade!$E$29:$II$29),0),
IFERROR(SUMPRODUCT(Veículos!$E$81:$II$81,Veículos!$E$4:$II$4),0)
)
/
Proposta!$J$62),2),"")</f>
        <v/>
      </c>
    </row>
    <row r="135" spans="2:10" s="42" customFormat="1">
      <c r="B135" s="250">
        <v>130</v>
      </c>
      <c r="C135" s="250"/>
      <c r="D135" s="386"/>
      <c r="E135" s="250" t="str">
        <f>IFERROR(VLOOKUP($D135,'Apoio - Mat Coletivo e Equip'!$A:$D,2,FALSE),"")</f>
        <v/>
      </c>
      <c r="F135" s="449"/>
      <c r="G135" s="743" t="str">
        <f>IFERROR(VLOOKUP($D135,'Apoio - Mat Coletivo e Equip'!$A:$D,3,FALSE),"")</f>
        <v/>
      </c>
      <c r="H135" s="742" t="str">
        <f>IFERROR(IF(VLOOKUP($D135,'Apoio - Mat Coletivo e Equip'!$A:$D,4,FALSE)=0,"",VLOOKUP($D135,'Apoio - Mat Coletivo e Equip'!$A:$D,4,FALSE)),"")</f>
        <v/>
      </c>
      <c r="I135" s="774" t="str">
        <f>IFERROR(ROUND((IF(ISNUMBER(H135),H135*'Mão de Obra'!$D$12/12,1)*G135*F135)/'Mão de Obra'!$D$12,2),"")</f>
        <v/>
      </c>
      <c r="J135" s="774" t="str">
        <f>IFERROR(ROUND(I135*(1+
SUM(
IFERROR(SUMPRODUCT('Mão de Obra'!$E$169:$II$169,'Mão de Obra'!$E$29:$II$29),0),
IFERROR(SUMPRODUCT(Produtividade!$E$171:$II$171,Produtividade!$E$29:$II$29),0),
IFERROR(SUMPRODUCT(Veículos!$E$81:$II$81,Veículos!$E$4:$II$4),0)
)
/
Proposta!$J$62),2),"")</f>
        <v/>
      </c>
    </row>
    <row r="136" spans="2:10" s="42" customFormat="1">
      <c r="B136" s="250">
        <v>131</v>
      </c>
      <c r="C136" s="250"/>
      <c r="D136" s="386"/>
      <c r="E136" s="250" t="str">
        <f>IFERROR(VLOOKUP($D136,'Apoio - Mat Coletivo e Equip'!$A:$D,2,FALSE),"")</f>
        <v/>
      </c>
      <c r="F136" s="449"/>
      <c r="G136" s="743" t="str">
        <f>IFERROR(VLOOKUP($D136,'Apoio - Mat Coletivo e Equip'!$A:$D,3,FALSE),"")</f>
        <v/>
      </c>
      <c r="H136" s="742" t="str">
        <f>IFERROR(IF(VLOOKUP($D136,'Apoio - Mat Coletivo e Equip'!$A:$D,4,FALSE)=0,"",VLOOKUP($D136,'Apoio - Mat Coletivo e Equip'!$A:$D,4,FALSE)),"")</f>
        <v/>
      </c>
      <c r="I136" s="774" t="str">
        <f>IFERROR(ROUND((IF(ISNUMBER(H136),H136*'Mão de Obra'!$D$12/12,1)*G136*F136)/'Mão de Obra'!$D$12,2),"")</f>
        <v/>
      </c>
      <c r="J136" s="774" t="str">
        <f>IFERROR(ROUND(I136*(1+
SUM(
IFERROR(SUMPRODUCT('Mão de Obra'!$E$169:$II$169,'Mão de Obra'!$E$29:$II$29),0),
IFERROR(SUMPRODUCT(Produtividade!$E$171:$II$171,Produtividade!$E$29:$II$29),0),
IFERROR(SUMPRODUCT(Veículos!$E$81:$II$81,Veículos!$E$4:$II$4),0)
)
/
Proposta!$J$62),2),"")</f>
        <v/>
      </c>
    </row>
    <row r="137" spans="2:10" s="42" customFormat="1">
      <c r="B137" s="250">
        <v>132</v>
      </c>
      <c r="C137" s="250"/>
      <c r="D137" s="386"/>
      <c r="E137" s="250" t="str">
        <f>IFERROR(VLOOKUP($D137,'Apoio - Mat Coletivo e Equip'!$A:$D,2,FALSE),"")</f>
        <v/>
      </c>
      <c r="F137" s="449"/>
      <c r="G137" s="743" t="str">
        <f>IFERROR(VLOOKUP($D137,'Apoio - Mat Coletivo e Equip'!$A:$D,3,FALSE),"")</f>
        <v/>
      </c>
      <c r="H137" s="742" t="str">
        <f>IFERROR(IF(VLOOKUP($D137,'Apoio - Mat Coletivo e Equip'!$A:$D,4,FALSE)=0,"",VLOOKUP($D137,'Apoio - Mat Coletivo e Equip'!$A:$D,4,FALSE)),"")</f>
        <v/>
      </c>
      <c r="I137" s="774" t="str">
        <f>IFERROR(ROUND((IF(ISNUMBER(H137),H137*'Mão de Obra'!$D$12/12,1)*G137*F137)/'Mão de Obra'!$D$12,2),"")</f>
        <v/>
      </c>
      <c r="J137" s="774" t="str">
        <f>IFERROR(ROUND(I137*(1+
SUM(
IFERROR(SUMPRODUCT('Mão de Obra'!$E$169:$II$169,'Mão de Obra'!$E$29:$II$29),0),
IFERROR(SUMPRODUCT(Produtividade!$E$171:$II$171,Produtividade!$E$29:$II$29),0),
IFERROR(SUMPRODUCT(Veículos!$E$81:$II$81,Veículos!$E$4:$II$4),0)
)
/
Proposta!$J$62),2),"")</f>
        <v/>
      </c>
    </row>
    <row r="138" spans="2:10" s="42" customFormat="1">
      <c r="B138" s="250">
        <v>133</v>
      </c>
      <c r="C138" s="250"/>
      <c r="D138" s="386"/>
      <c r="E138" s="250" t="str">
        <f>IFERROR(VLOOKUP($D138,'Apoio - Mat Coletivo e Equip'!$A:$D,2,FALSE),"")</f>
        <v/>
      </c>
      <c r="F138" s="449"/>
      <c r="G138" s="743" t="str">
        <f>IFERROR(VLOOKUP($D138,'Apoio - Mat Coletivo e Equip'!$A:$D,3,FALSE),"")</f>
        <v/>
      </c>
      <c r="H138" s="742" t="str">
        <f>IFERROR(IF(VLOOKUP($D138,'Apoio - Mat Coletivo e Equip'!$A:$D,4,FALSE)=0,"",VLOOKUP($D138,'Apoio - Mat Coletivo e Equip'!$A:$D,4,FALSE)),"")</f>
        <v/>
      </c>
      <c r="I138" s="774" t="str">
        <f>IFERROR(ROUND((IF(ISNUMBER(H138),H138*'Mão de Obra'!$D$12/12,1)*G138*F138)/'Mão de Obra'!$D$12,2),"")</f>
        <v/>
      </c>
      <c r="J138" s="774" t="str">
        <f>IFERROR(ROUND(I138*(1+
SUM(
IFERROR(SUMPRODUCT('Mão de Obra'!$E$169:$II$169,'Mão de Obra'!$E$29:$II$29),0),
IFERROR(SUMPRODUCT(Produtividade!$E$171:$II$171,Produtividade!$E$29:$II$29),0),
IFERROR(SUMPRODUCT(Veículos!$E$81:$II$81,Veículos!$E$4:$II$4),0)
)
/
Proposta!$J$62),2),"")</f>
        <v/>
      </c>
    </row>
    <row r="139" spans="2:10" s="42" customFormat="1">
      <c r="B139" s="250">
        <v>134</v>
      </c>
      <c r="C139" s="250"/>
      <c r="D139" s="386"/>
      <c r="E139" s="250" t="str">
        <f>IFERROR(VLOOKUP($D139,'Apoio - Mat Coletivo e Equip'!$A:$D,2,FALSE),"")</f>
        <v/>
      </c>
      <c r="F139" s="449"/>
      <c r="G139" s="743" t="str">
        <f>IFERROR(VLOOKUP($D139,'Apoio - Mat Coletivo e Equip'!$A:$D,3,FALSE),"")</f>
        <v/>
      </c>
      <c r="H139" s="742" t="str">
        <f>IFERROR(IF(VLOOKUP($D139,'Apoio - Mat Coletivo e Equip'!$A:$D,4,FALSE)=0,"",VLOOKUP($D139,'Apoio - Mat Coletivo e Equip'!$A:$D,4,FALSE)),"")</f>
        <v/>
      </c>
      <c r="I139" s="774" t="str">
        <f>IFERROR(ROUND((IF(ISNUMBER(H139),H139*'Mão de Obra'!$D$12/12,1)*G139*F139)/'Mão de Obra'!$D$12,2),"")</f>
        <v/>
      </c>
      <c r="J139" s="774" t="str">
        <f>IFERROR(ROUND(I139*(1+
SUM(
IFERROR(SUMPRODUCT('Mão de Obra'!$E$169:$II$169,'Mão de Obra'!$E$29:$II$29),0),
IFERROR(SUMPRODUCT(Produtividade!$E$171:$II$171,Produtividade!$E$29:$II$29),0),
IFERROR(SUMPRODUCT(Veículos!$E$81:$II$81,Veículos!$E$4:$II$4),0)
)
/
Proposta!$J$62),2),"")</f>
        <v/>
      </c>
    </row>
    <row r="140" spans="2:10" s="42" customFormat="1">
      <c r="B140" s="250">
        <v>135</v>
      </c>
      <c r="C140" s="250"/>
      <c r="D140" s="386"/>
      <c r="E140" s="250" t="str">
        <f>IFERROR(VLOOKUP($D140,'Apoio - Mat Coletivo e Equip'!$A:$D,2,FALSE),"")</f>
        <v/>
      </c>
      <c r="F140" s="449"/>
      <c r="G140" s="743" t="str">
        <f>IFERROR(VLOOKUP($D140,'Apoio - Mat Coletivo e Equip'!$A:$D,3,FALSE),"")</f>
        <v/>
      </c>
      <c r="H140" s="742" t="str">
        <f>IFERROR(IF(VLOOKUP($D140,'Apoio - Mat Coletivo e Equip'!$A:$D,4,FALSE)=0,"",VLOOKUP($D140,'Apoio - Mat Coletivo e Equip'!$A:$D,4,FALSE)),"")</f>
        <v/>
      </c>
      <c r="I140" s="774" t="str">
        <f>IFERROR(ROUND((IF(ISNUMBER(H140),H140*'Mão de Obra'!$D$12/12,1)*G140*F140)/'Mão de Obra'!$D$12,2),"")</f>
        <v/>
      </c>
      <c r="J140" s="774" t="str">
        <f>IFERROR(ROUND(I140*(1+
SUM(
IFERROR(SUMPRODUCT('Mão de Obra'!$E$169:$II$169,'Mão de Obra'!$E$29:$II$29),0),
IFERROR(SUMPRODUCT(Produtividade!$E$171:$II$171,Produtividade!$E$29:$II$29),0),
IFERROR(SUMPRODUCT(Veículos!$E$81:$II$81,Veículos!$E$4:$II$4),0)
)
/
Proposta!$J$62),2),"")</f>
        <v/>
      </c>
    </row>
    <row r="141" spans="2:10" s="42" customFormat="1">
      <c r="B141" s="250">
        <v>136</v>
      </c>
      <c r="C141" s="250"/>
      <c r="D141" s="386"/>
      <c r="E141" s="250" t="str">
        <f>IFERROR(VLOOKUP($D141,'Apoio - Mat Coletivo e Equip'!$A:$D,2,FALSE),"")</f>
        <v/>
      </c>
      <c r="F141" s="449"/>
      <c r="G141" s="743" t="str">
        <f>IFERROR(VLOOKUP($D141,'Apoio - Mat Coletivo e Equip'!$A:$D,3,FALSE),"")</f>
        <v/>
      </c>
      <c r="H141" s="742" t="str">
        <f>IFERROR(IF(VLOOKUP($D141,'Apoio - Mat Coletivo e Equip'!$A:$D,4,FALSE)=0,"",VLOOKUP($D141,'Apoio - Mat Coletivo e Equip'!$A:$D,4,FALSE)),"")</f>
        <v/>
      </c>
      <c r="I141" s="774" t="str">
        <f>IFERROR(ROUND((IF(ISNUMBER(H141),H141*'Mão de Obra'!$D$12/12,1)*G141*F141)/'Mão de Obra'!$D$12,2),"")</f>
        <v/>
      </c>
      <c r="J141" s="774" t="str">
        <f>IFERROR(ROUND(I141*(1+
SUM(
IFERROR(SUMPRODUCT('Mão de Obra'!$E$169:$II$169,'Mão de Obra'!$E$29:$II$29),0),
IFERROR(SUMPRODUCT(Produtividade!$E$171:$II$171,Produtividade!$E$29:$II$29),0),
IFERROR(SUMPRODUCT(Veículos!$E$81:$II$81,Veículos!$E$4:$II$4),0)
)
/
Proposta!$J$62),2),"")</f>
        <v/>
      </c>
    </row>
    <row r="142" spans="2:10" s="42" customFormat="1">
      <c r="B142" s="250">
        <v>137</v>
      </c>
      <c r="C142" s="250"/>
      <c r="D142" s="386"/>
      <c r="E142" s="250" t="str">
        <f>IFERROR(VLOOKUP($D142,'Apoio - Mat Coletivo e Equip'!$A:$D,2,FALSE),"")</f>
        <v/>
      </c>
      <c r="F142" s="449"/>
      <c r="G142" s="743" t="str">
        <f>IFERROR(VLOOKUP($D142,'Apoio - Mat Coletivo e Equip'!$A:$D,3,FALSE),"")</f>
        <v/>
      </c>
      <c r="H142" s="742" t="str">
        <f>IFERROR(IF(VLOOKUP($D142,'Apoio - Mat Coletivo e Equip'!$A:$D,4,FALSE)=0,"",VLOOKUP($D142,'Apoio - Mat Coletivo e Equip'!$A:$D,4,FALSE)),"")</f>
        <v/>
      </c>
      <c r="I142" s="774" t="str">
        <f>IFERROR(ROUND((IF(ISNUMBER(H142),H142*'Mão de Obra'!$D$12/12,1)*G142*F142)/'Mão de Obra'!$D$12,2),"")</f>
        <v/>
      </c>
      <c r="J142" s="774" t="str">
        <f>IFERROR(ROUND(I142*(1+
SUM(
IFERROR(SUMPRODUCT('Mão de Obra'!$E$169:$II$169,'Mão de Obra'!$E$29:$II$29),0),
IFERROR(SUMPRODUCT(Produtividade!$E$171:$II$171,Produtividade!$E$29:$II$29),0),
IFERROR(SUMPRODUCT(Veículos!$E$81:$II$81,Veículos!$E$4:$II$4),0)
)
/
Proposta!$J$62),2),"")</f>
        <v/>
      </c>
    </row>
    <row r="143" spans="2:10" s="42" customFormat="1">
      <c r="B143" s="250">
        <v>138</v>
      </c>
      <c r="C143" s="250"/>
      <c r="D143" s="386"/>
      <c r="E143" s="250" t="str">
        <f>IFERROR(VLOOKUP($D143,'Apoio - Mat Coletivo e Equip'!$A:$D,2,FALSE),"")</f>
        <v/>
      </c>
      <c r="F143" s="449"/>
      <c r="G143" s="743" t="str">
        <f>IFERROR(VLOOKUP($D143,'Apoio - Mat Coletivo e Equip'!$A:$D,3,FALSE),"")</f>
        <v/>
      </c>
      <c r="H143" s="742" t="str">
        <f>IFERROR(IF(VLOOKUP($D143,'Apoio - Mat Coletivo e Equip'!$A:$D,4,FALSE)=0,"",VLOOKUP($D143,'Apoio - Mat Coletivo e Equip'!$A:$D,4,FALSE)),"")</f>
        <v/>
      </c>
      <c r="I143" s="774" t="str">
        <f>IFERROR(ROUND((IF(ISNUMBER(H143),H143*'Mão de Obra'!$D$12/12,1)*G143*F143)/'Mão de Obra'!$D$12,2),"")</f>
        <v/>
      </c>
      <c r="J143" s="774" t="str">
        <f>IFERROR(ROUND(I143*(1+
SUM(
IFERROR(SUMPRODUCT('Mão de Obra'!$E$169:$II$169,'Mão de Obra'!$E$29:$II$29),0),
IFERROR(SUMPRODUCT(Produtividade!$E$171:$II$171,Produtividade!$E$29:$II$29),0),
IFERROR(SUMPRODUCT(Veículos!$E$81:$II$81,Veículos!$E$4:$II$4),0)
)
/
Proposta!$J$62),2),"")</f>
        <v/>
      </c>
    </row>
    <row r="144" spans="2:10" s="42" customFormat="1">
      <c r="B144" s="250">
        <v>139</v>
      </c>
      <c r="C144" s="250"/>
      <c r="D144" s="386"/>
      <c r="E144" s="250" t="str">
        <f>IFERROR(VLOOKUP($D144,'Apoio - Mat Coletivo e Equip'!$A:$D,2,FALSE),"")</f>
        <v/>
      </c>
      <c r="F144" s="449"/>
      <c r="G144" s="743" t="str">
        <f>IFERROR(VLOOKUP($D144,'Apoio - Mat Coletivo e Equip'!$A:$D,3,FALSE),"")</f>
        <v/>
      </c>
      <c r="H144" s="742" t="str">
        <f>IFERROR(IF(VLOOKUP($D144,'Apoio - Mat Coletivo e Equip'!$A:$D,4,FALSE)=0,"",VLOOKUP($D144,'Apoio - Mat Coletivo e Equip'!$A:$D,4,FALSE)),"")</f>
        <v/>
      </c>
      <c r="I144" s="774" t="str">
        <f>IFERROR(ROUND((IF(ISNUMBER(H144),H144*'Mão de Obra'!$D$12/12,1)*G144*F144)/'Mão de Obra'!$D$12,2),"")</f>
        <v/>
      </c>
      <c r="J144" s="774" t="str">
        <f>IFERROR(ROUND(I144*(1+
SUM(
IFERROR(SUMPRODUCT('Mão de Obra'!$E$169:$II$169,'Mão de Obra'!$E$29:$II$29),0),
IFERROR(SUMPRODUCT(Produtividade!$E$171:$II$171,Produtividade!$E$29:$II$29),0),
IFERROR(SUMPRODUCT(Veículos!$E$81:$II$81,Veículos!$E$4:$II$4),0)
)
/
Proposta!$J$62),2),"")</f>
        <v/>
      </c>
    </row>
    <row r="145" spans="2:10">
      <c r="B145" s="250">
        <v>140</v>
      </c>
      <c r="C145" s="250"/>
      <c r="D145" s="386"/>
      <c r="E145" s="250" t="str">
        <f>IFERROR(VLOOKUP($D145,'Apoio - Mat Coletivo e Equip'!$A:$D,2,FALSE),"")</f>
        <v/>
      </c>
      <c r="F145" s="449"/>
      <c r="G145" s="743" t="str">
        <f>IFERROR(VLOOKUP($D145,'Apoio - Mat Coletivo e Equip'!$A:$D,3,FALSE),"")</f>
        <v/>
      </c>
      <c r="H145" s="742" t="str">
        <f>IFERROR(IF(VLOOKUP($D145,'Apoio - Mat Coletivo e Equip'!$A:$D,4,FALSE)=0,"",VLOOKUP($D145,'Apoio - Mat Coletivo e Equip'!$A:$D,4,FALSE)),"")</f>
        <v/>
      </c>
      <c r="I145" s="774" t="str">
        <f>IFERROR(ROUND((IF(ISNUMBER(H145),H145*'Mão de Obra'!$D$12/12,1)*G145*F145)/'Mão de Obra'!$D$12,2),"")</f>
        <v/>
      </c>
      <c r="J145" s="774" t="str">
        <f>IFERROR(ROUND(I145*(1+
SUM(
IFERROR(SUMPRODUCT('Mão de Obra'!$E$169:$II$169,'Mão de Obra'!$E$29:$II$29),0),
IFERROR(SUMPRODUCT(Produtividade!$E$171:$II$171,Produtividade!$E$29:$II$29),0),
IFERROR(SUMPRODUCT(Veículos!$E$81:$II$81,Veículos!$E$4:$II$4),0)
)
/
Proposta!$J$62),2),"")</f>
        <v/>
      </c>
    </row>
    <row r="146" spans="2:10">
      <c r="B146" s="250">
        <v>141</v>
      </c>
      <c r="C146" s="250"/>
      <c r="D146" s="386"/>
      <c r="E146" s="250" t="str">
        <f>IFERROR(VLOOKUP($D146,'Apoio - Mat Coletivo e Equip'!$A:$D,2,FALSE),"")</f>
        <v/>
      </c>
      <c r="F146" s="449"/>
      <c r="G146" s="743" t="str">
        <f>IFERROR(VLOOKUP($D146,'Apoio - Mat Coletivo e Equip'!$A:$D,3,FALSE),"")</f>
        <v/>
      </c>
      <c r="H146" s="742" t="str">
        <f>IFERROR(IF(VLOOKUP($D146,'Apoio - Mat Coletivo e Equip'!$A:$D,4,FALSE)=0,"",VLOOKUP($D146,'Apoio - Mat Coletivo e Equip'!$A:$D,4,FALSE)),"")</f>
        <v/>
      </c>
      <c r="I146" s="774" t="str">
        <f>IFERROR(ROUND((IF(ISNUMBER(H146),H146*'Mão de Obra'!$D$12/12,1)*G146*F146)/'Mão de Obra'!$D$12,2),"")</f>
        <v/>
      </c>
      <c r="J146" s="774" t="str">
        <f>IFERROR(ROUND(I146*(1+
SUM(
IFERROR(SUMPRODUCT('Mão de Obra'!$E$169:$II$169,'Mão de Obra'!$E$29:$II$29),0),
IFERROR(SUMPRODUCT(Produtividade!$E$171:$II$171,Produtividade!$E$29:$II$29),0),
IFERROR(SUMPRODUCT(Veículos!$E$81:$II$81,Veículos!$E$4:$II$4),0)
)
/
Proposta!$J$62),2),"")</f>
        <v/>
      </c>
    </row>
    <row r="147" spans="2:10">
      <c r="B147" s="250">
        <v>142</v>
      </c>
      <c r="C147" s="250"/>
      <c r="D147" s="386"/>
      <c r="E147" s="250" t="str">
        <f>IFERROR(VLOOKUP($D147,'Apoio - Mat Coletivo e Equip'!$A:$D,2,FALSE),"")</f>
        <v/>
      </c>
      <c r="F147" s="449"/>
      <c r="G147" s="743" t="str">
        <f>IFERROR(VLOOKUP($D147,'Apoio - Mat Coletivo e Equip'!$A:$D,3,FALSE),"")</f>
        <v/>
      </c>
      <c r="H147" s="742" t="str">
        <f>IFERROR(IF(VLOOKUP($D147,'Apoio - Mat Coletivo e Equip'!$A:$D,4,FALSE)=0,"",VLOOKUP($D147,'Apoio - Mat Coletivo e Equip'!$A:$D,4,FALSE)),"")</f>
        <v/>
      </c>
      <c r="I147" s="774" t="str">
        <f>IFERROR(ROUND((IF(ISNUMBER(H147),H147*'Mão de Obra'!$D$12/12,1)*G147*F147)/'Mão de Obra'!$D$12,2),"")</f>
        <v/>
      </c>
      <c r="J147" s="774" t="str">
        <f>IFERROR(ROUND(I147*(1+
SUM(
IFERROR(SUMPRODUCT('Mão de Obra'!$E$169:$II$169,'Mão de Obra'!$E$29:$II$29),0),
IFERROR(SUMPRODUCT(Produtividade!$E$171:$II$171,Produtividade!$E$29:$II$29),0),
IFERROR(SUMPRODUCT(Veículos!$E$81:$II$81,Veículos!$E$4:$II$4),0)
)
/
Proposta!$J$62),2),"")</f>
        <v/>
      </c>
    </row>
    <row r="148" spans="2:10">
      <c r="B148" s="250">
        <v>143</v>
      </c>
      <c r="C148" s="250"/>
      <c r="D148" s="386"/>
      <c r="E148" s="250" t="str">
        <f>IFERROR(VLOOKUP($D148,'Apoio - Mat Coletivo e Equip'!$A:$D,2,FALSE),"")</f>
        <v/>
      </c>
      <c r="F148" s="449"/>
      <c r="G148" s="743" t="str">
        <f>IFERROR(VLOOKUP($D148,'Apoio - Mat Coletivo e Equip'!$A:$D,3,FALSE),"")</f>
        <v/>
      </c>
      <c r="H148" s="742" t="str">
        <f>IFERROR(IF(VLOOKUP($D148,'Apoio - Mat Coletivo e Equip'!$A:$D,4,FALSE)=0,"",VLOOKUP($D148,'Apoio - Mat Coletivo e Equip'!$A:$D,4,FALSE)),"")</f>
        <v/>
      </c>
      <c r="I148" s="774" t="str">
        <f>IFERROR(ROUND((IF(ISNUMBER(H148),H148*'Mão de Obra'!$D$12/12,1)*G148*F148)/'Mão de Obra'!$D$12,2),"")</f>
        <v/>
      </c>
      <c r="J148" s="774" t="str">
        <f>IFERROR(ROUND(I148*(1+
SUM(
IFERROR(SUMPRODUCT('Mão de Obra'!$E$169:$II$169,'Mão de Obra'!$E$29:$II$29),0),
IFERROR(SUMPRODUCT(Produtividade!$E$171:$II$171,Produtividade!$E$29:$II$29),0),
IFERROR(SUMPRODUCT(Veículos!$E$81:$II$81,Veículos!$E$4:$II$4),0)
)
/
Proposta!$J$62),2),"")</f>
        <v/>
      </c>
    </row>
    <row r="149" spans="2:10">
      <c r="B149" s="250">
        <v>144</v>
      </c>
      <c r="C149" s="250"/>
      <c r="D149" s="386"/>
      <c r="E149" s="250" t="str">
        <f>IFERROR(VLOOKUP($D149,'Apoio - Mat Coletivo e Equip'!$A:$D,2,FALSE),"")</f>
        <v/>
      </c>
      <c r="F149" s="449"/>
      <c r="G149" s="743" t="str">
        <f>IFERROR(VLOOKUP($D149,'Apoio - Mat Coletivo e Equip'!$A:$D,3,FALSE),"")</f>
        <v/>
      </c>
      <c r="H149" s="742" t="str">
        <f>IFERROR(IF(VLOOKUP($D149,'Apoio - Mat Coletivo e Equip'!$A:$D,4,FALSE)=0,"",VLOOKUP($D149,'Apoio - Mat Coletivo e Equip'!$A:$D,4,FALSE)),"")</f>
        <v/>
      </c>
      <c r="I149" s="774" t="str">
        <f>IFERROR(ROUND((IF(ISNUMBER(H149),H149*'Mão de Obra'!$D$12/12,1)*G149*F149)/'Mão de Obra'!$D$12,2),"")</f>
        <v/>
      </c>
      <c r="J149" s="774" t="str">
        <f>IFERROR(ROUND(I149*(1+
SUM(
IFERROR(SUMPRODUCT('Mão de Obra'!$E$169:$II$169,'Mão de Obra'!$E$29:$II$29),0),
IFERROR(SUMPRODUCT(Produtividade!$E$171:$II$171,Produtividade!$E$29:$II$29),0),
IFERROR(SUMPRODUCT(Veículos!$E$81:$II$81,Veículos!$E$4:$II$4),0)
)
/
Proposta!$J$62),2),"")</f>
        <v/>
      </c>
    </row>
    <row r="150" spans="2:10">
      <c r="B150" s="250">
        <v>145</v>
      </c>
      <c r="C150" s="250"/>
      <c r="D150" s="386"/>
      <c r="E150" s="250" t="str">
        <f>IFERROR(VLOOKUP($D150,'Apoio - Mat Coletivo e Equip'!$A:$D,2,FALSE),"")</f>
        <v/>
      </c>
      <c r="F150" s="449"/>
      <c r="G150" s="743" t="str">
        <f>IFERROR(VLOOKUP($D150,'Apoio - Mat Coletivo e Equip'!$A:$D,3,FALSE),"")</f>
        <v/>
      </c>
      <c r="H150" s="742" t="str">
        <f>IFERROR(IF(VLOOKUP($D150,'Apoio - Mat Coletivo e Equip'!$A:$D,4,FALSE)=0,"",VLOOKUP($D150,'Apoio - Mat Coletivo e Equip'!$A:$D,4,FALSE)),"")</f>
        <v/>
      </c>
      <c r="I150" s="774" t="str">
        <f>IFERROR(ROUND((IF(ISNUMBER(H150),H150*'Mão de Obra'!$D$12/12,1)*G150*F150)/'Mão de Obra'!$D$12,2),"")</f>
        <v/>
      </c>
      <c r="J150" s="774" t="str">
        <f>IFERROR(ROUND(I150*(1+
SUM(
IFERROR(SUMPRODUCT('Mão de Obra'!$E$169:$II$169,'Mão de Obra'!$E$29:$II$29),0),
IFERROR(SUMPRODUCT(Produtividade!$E$171:$II$171,Produtividade!$E$29:$II$29),0),
IFERROR(SUMPRODUCT(Veículos!$E$81:$II$81,Veículos!$E$4:$II$4),0)
)
/
Proposta!$J$62),2),"")</f>
        <v/>
      </c>
    </row>
    <row r="151" spans="2:10">
      <c r="B151" s="250">
        <v>146</v>
      </c>
      <c r="C151" s="250"/>
      <c r="D151" s="386"/>
      <c r="E151" s="250" t="str">
        <f>IFERROR(VLOOKUP($D151,'Apoio - Mat Coletivo e Equip'!$A:$D,2,FALSE),"")</f>
        <v/>
      </c>
      <c r="F151" s="449"/>
      <c r="G151" s="743" t="str">
        <f>IFERROR(VLOOKUP($D151,'Apoio - Mat Coletivo e Equip'!$A:$D,3,FALSE),"")</f>
        <v/>
      </c>
      <c r="H151" s="742" t="str">
        <f>IFERROR(IF(VLOOKUP($D151,'Apoio - Mat Coletivo e Equip'!$A:$D,4,FALSE)=0,"",VLOOKUP($D151,'Apoio - Mat Coletivo e Equip'!$A:$D,4,FALSE)),"")</f>
        <v/>
      </c>
      <c r="I151" s="774" t="str">
        <f>IFERROR(ROUND((IF(ISNUMBER(H151),H151*'Mão de Obra'!$D$12/12,1)*G151*F151)/'Mão de Obra'!$D$12,2),"")</f>
        <v/>
      </c>
      <c r="J151" s="774" t="str">
        <f>IFERROR(ROUND(I151*(1+
SUM(
IFERROR(SUMPRODUCT('Mão de Obra'!$E$169:$II$169,'Mão de Obra'!$E$29:$II$29),0),
IFERROR(SUMPRODUCT(Produtividade!$E$171:$II$171,Produtividade!$E$29:$II$29),0),
IFERROR(SUMPRODUCT(Veículos!$E$81:$II$81,Veículos!$E$4:$II$4),0)
)
/
Proposta!$J$62),2),"")</f>
        <v/>
      </c>
    </row>
    <row r="152" spans="2:10">
      <c r="B152" s="250">
        <v>147</v>
      </c>
      <c r="C152" s="250"/>
      <c r="D152" s="386"/>
      <c r="E152" s="250" t="str">
        <f>IFERROR(VLOOKUP($D152,'Apoio - Mat Coletivo e Equip'!$A:$D,2,FALSE),"")</f>
        <v/>
      </c>
      <c r="F152" s="449"/>
      <c r="G152" s="743" t="str">
        <f>IFERROR(VLOOKUP($D152,'Apoio - Mat Coletivo e Equip'!$A:$D,3,FALSE),"")</f>
        <v/>
      </c>
      <c r="H152" s="742" t="str">
        <f>IFERROR(IF(VLOOKUP($D152,'Apoio - Mat Coletivo e Equip'!$A:$D,4,FALSE)=0,"",VLOOKUP($D152,'Apoio - Mat Coletivo e Equip'!$A:$D,4,FALSE)),"")</f>
        <v/>
      </c>
      <c r="I152" s="774" t="str">
        <f>IFERROR(ROUND((IF(ISNUMBER(H152),H152*'Mão de Obra'!$D$12/12,1)*G152*F152)/'Mão de Obra'!$D$12,2),"")</f>
        <v/>
      </c>
      <c r="J152" s="774" t="str">
        <f>IFERROR(ROUND(I152*(1+
SUM(
IFERROR(SUMPRODUCT('Mão de Obra'!$E$169:$II$169,'Mão de Obra'!$E$29:$II$29),0),
IFERROR(SUMPRODUCT(Produtividade!$E$171:$II$171,Produtividade!$E$29:$II$29),0),
IFERROR(SUMPRODUCT(Veículos!$E$81:$II$81,Veículos!$E$4:$II$4),0)
)
/
Proposta!$J$62),2),"")</f>
        <v/>
      </c>
    </row>
    <row r="153" spans="2:10">
      <c r="B153" s="250">
        <v>148</v>
      </c>
      <c r="C153" s="250"/>
      <c r="D153" s="386"/>
      <c r="E153" s="250" t="str">
        <f>IFERROR(VLOOKUP($D153,'Apoio - Mat Coletivo e Equip'!$A:$D,2,FALSE),"")</f>
        <v/>
      </c>
      <c r="F153" s="449"/>
      <c r="G153" s="743" t="str">
        <f>IFERROR(VLOOKUP($D153,'Apoio - Mat Coletivo e Equip'!$A:$D,3,FALSE),"")</f>
        <v/>
      </c>
      <c r="H153" s="742" t="str">
        <f>IFERROR(IF(VLOOKUP($D153,'Apoio - Mat Coletivo e Equip'!$A:$D,4,FALSE)=0,"",VLOOKUP($D153,'Apoio - Mat Coletivo e Equip'!$A:$D,4,FALSE)),"")</f>
        <v/>
      </c>
      <c r="I153" s="774" t="str">
        <f>IFERROR(ROUND((IF(ISNUMBER(H153),H153*'Mão de Obra'!$D$12/12,1)*G153*F153)/'Mão de Obra'!$D$12,2),"")</f>
        <v/>
      </c>
      <c r="J153" s="774" t="str">
        <f>IFERROR(ROUND(I153*(1+
SUM(
IFERROR(SUMPRODUCT('Mão de Obra'!$E$169:$II$169,'Mão de Obra'!$E$29:$II$29),0),
IFERROR(SUMPRODUCT(Produtividade!$E$171:$II$171,Produtividade!$E$29:$II$29),0),
IFERROR(SUMPRODUCT(Veículos!$E$81:$II$81,Veículos!$E$4:$II$4),0)
)
/
Proposta!$J$62),2),"")</f>
        <v/>
      </c>
    </row>
    <row r="154" spans="2:10">
      <c r="B154" s="250">
        <v>149</v>
      </c>
      <c r="C154" s="250"/>
      <c r="D154" s="386"/>
      <c r="E154" s="250" t="str">
        <f>IFERROR(VLOOKUP($D154,'Apoio - Mat Coletivo e Equip'!$A:$D,2,FALSE),"")</f>
        <v/>
      </c>
      <c r="F154" s="449"/>
      <c r="G154" s="743" t="str">
        <f>IFERROR(VLOOKUP($D154,'Apoio - Mat Coletivo e Equip'!$A:$D,3,FALSE),"")</f>
        <v/>
      </c>
      <c r="H154" s="742" t="str">
        <f>IFERROR(IF(VLOOKUP($D154,'Apoio - Mat Coletivo e Equip'!$A:$D,4,FALSE)=0,"",VLOOKUP($D154,'Apoio - Mat Coletivo e Equip'!$A:$D,4,FALSE)),"")</f>
        <v/>
      </c>
      <c r="I154" s="774" t="str">
        <f>IFERROR(ROUND((IF(ISNUMBER(H154),H154*'Mão de Obra'!$D$12/12,1)*G154*F154)/'Mão de Obra'!$D$12,2),"")</f>
        <v/>
      </c>
      <c r="J154" s="774" t="str">
        <f>IFERROR(ROUND(I154*(1+
SUM(
IFERROR(SUMPRODUCT('Mão de Obra'!$E$169:$II$169,'Mão de Obra'!$E$29:$II$29),0),
IFERROR(SUMPRODUCT(Produtividade!$E$171:$II$171,Produtividade!$E$29:$II$29),0),
IFERROR(SUMPRODUCT(Veículos!$E$81:$II$81,Veículos!$E$4:$II$4),0)
)
/
Proposta!$J$62),2),"")</f>
        <v/>
      </c>
    </row>
    <row r="155" spans="2:10">
      <c r="B155" s="250">
        <v>150</v>
      </c>
      <c r="C155" s="250"/>
      <c r="D155" s="386"/>
      <c r="E155" s="250" t="str">
        <f>IFERROR(VLOOKUP($D155,'Apoio - Mat Coletivo e Equip'!$A:$D,2,FALSE),"")</f>
        <v/>
      </c>
      <c r="F155" s="449"/>
      <c r="G155" s="743" t="str">
        <f>IFERROR(VLOOKUP($D155,'Apoio - Mat Coletivo e Equip'!$A:$D,3,FALSE),"")</f>
        <v/>
      </c>
      <c r="H155" s="742" t="str">
        <f>IFERROR(IF(VLOOKUP($D155,'Apoio - Mat Coletivo e Equip'!$A:$D,4,FALSE)=0,"",VLOOKUP($D155,'Apoio - Mat Coletivo e Equip'!$A:$D,4,FALSE)),"")</f>
        <v/>
      </c>
      <c r="I155" s="774" t="str">
        <f>IFERROR(ROUND((IF(ISNUMBER(H155),H155*'Mão de Obra'!$D$12/12,1)*G155*F155)/'Mão de Obra'!$D$12,2),"")</f>
        <v/>
      </c>
      <c r="J155" s="774" t="str">
        <f>IFERROR(ROUND(I155*(1+
SUM(
IFERROR(SUMPRODUCT('Mão de Obra'!$E$169:$II$169,'Mão de Obra'!$E$29:$II$29),0),
IFERROR(SUMPRODUCT(Produtividade!$E$171:$II$171,Produtividade!$E$29:$II$29),0),
IFERROR(SUMPRODUCT(Veículos!$E$81:$II$81,Veículos!$E$4:$II$4),0)
)
/
Proposta!$J$62),2),"")</f>
        <v/>
      </c>
    </row>
    <row r="156" spans="2:10">
      <c r="B156" s="250">
        <v>151</v>
      </c>
      <c r="C156" s="250"/>
      <c r="D156" s="386"/>
      <c r="E156" s="250" t="str">
        <f>IFERROR(VLOOKUP($D156,'Apoio - Mat Coletivo e Equip'!$A:$D,2,FALSE),"")</f>
        <v/>
      </c>
      <c r="F156" s="449"/>
      <c r="G156" s="743" t="str">
        <f>IFERROR(VLOOKUP($D156,'Apoio - Mat Coletivo e Equip'!$A:$D,3,FALSE),"")</f>
        <v/>
      </c>
      <c r="H156" s="742" t="str">
        <f>IFERROR(IF(VLOOKUP($D156,'Apoio - Mat Coletivo e Equip'!$A:$D,4,FALSE)=0,"",VLOOKUP($D156,'Apoio - Mat Coletivo e Equip'!$A:$D,4,FALSE)),"")</f>
        <v/>
      </c>
      <c r="I156" s="774" t="str">
        <f>IFERROR(ROUND((IF(ISNUMBER(H156),H156*'Mão de Obra'!$D$12/12,1)*G156*F156)/'Mão de Obra'!$D$12,2),"")</f>
        <v/>
      </c>
      <c r="J156" s="774" t="str">
        <f>IFERROR(ROUND(I156*(1+
SUM(
IFERROR(SUMPRODUCT('Mão de Obra'!$E$169:$II$169,'Mão de Obra'!$E$29:$II$29),0),
IFERROR(SUMPRODUCT(Produtividade!$E$171:$II$171,Produtividade!$E$29:$II$29),0),
IFERROR(SUMPRODUCT(Veículos!$E$81:$II$81,Veículos!$E$4:$II$4),0)
)
/
Proposta!$J$62),2),"")</f>
        <v/>
      </c>
    </row>
    <row r="157" spans="2:10">
      <c r="B157" s="250">
        <v>152</v>
      </c>
      <c r="C157" s="250"/>
      <c r="D157" s="386"/>
      <c r="E157" s="250" t="str">
        <f>IFERROR(VLOOKUP($D157,'Apoio - Mat Coletivo e Equip'!$A:$D,2,FALSE),"")</f>
        <v/>
      </c>
      <c r="F157" s="449"/>
      <c r="G157" s="743" t="str">
        <f>IFERROR(VLOOKUP($D157,'Apoio - Mat Coletivo e Equip'!$A:$D,3,FALSE),"")</f>
        <v/>
      </c>
      <c r="H157" s="742" t="str">
        <f>IFERROR(IF(VLOOKUP($D157,'Apoio - Mat Coletivo e Equip'!$A:$D,4,FALSE)=0,"",VLOOKUP($D157,'Apoio - Mat Coletivo e Equip'!$A:$D,4,FALSE)),"")</f>
        <v/>
      </c>
      <c r="I157" s="774" t="str">
        <f>IFERROR(ROUND((IF(ISNUMBER(H157),H157*'Mão de Obra'!$D$12/12,1)*G157*F157)/'Mão de Obra'!$D$12,2),"")</f>
        <v/>
      </c>
      <c r="J157" s="774" t="str">
        <f>IFERROR(ROUND(I157*(1+
SUM(
IFERROR(SUMPRODUCT('Mão de Obra'!$E$169:$II$169,'Mão de Obra'!$E$29:$II$29),0),
IFERROR(SUMPRODUCT(Produtividade!$E$171:$II$171,Produtividade!$E$29:$II$29),0),
IFERROR(SUMPRODUCT(Veículos!$E$81:$II$81,Veículos!$E$4:$II$4),0)
)
/
Proposta!$J$62),2),"")</f>
        <v/>
      </c>
    </row>
    <row r="158" spans="2:10">
      <c r="B158" s="250">
        <v>153</v>
      </c>
      <c r="C158" s="250"/>
      <c r="D158" s="386"/>
      <c r="E158" s="250" t="str">
        <f>IFERROR(VLOOKUP($D158,'Apoio - Mat Coletivo e Equip'!$A:$D,2,FALSE),"")</f>
        <v/>
      </c>
      <c r="F158" s="449"/>
      <c r="G158" s="743" t="str">
        <f>IFERROR(VLOOKUP($D158,'Apoio - Mat Coletivo e Equip'!$A:$D,3,FALSE),"")</f>
        <v/>
      </c>
      <c r="H158" s="742" t="str">
        <f>IFERROR(IF(VLOOKUP($D158,'Apoio - Mat Coletivo e Equip'!$A:$D,4,FALSE)=0,"",VLOOKUP($D158,'Apoio - Mat Coletivo e Equip'!$A:$D,4,FALSE)),"")</f>
        <v/>
      </c>
      <c r="I158" s="774" t="str">
        <f>IFERROR(ROUND((IF(ISNUMBER(H158),H158*'Mão de Obra'!$D$12/12,1)*G158*F158)/'Mão de Obra'!$D$12,2),"")</f>
        <v/>
      </c>
      <c r="J158" s="774" t="str">
        <f>IFERROR(ROUND(I158*(1+
SUM(
IFERROR(SUMPRODUCT('Mão de Obra'!$E$169:$II$169,'Mão de Obra'!$E$29:$II$29),0),
IFERROR(SUMPRODUCT(Produtividade!$E$171:$II$171,Produtividade!$E$29:$II$29),0),
IFERROR(SUMPRODUCT(Veículos!$E$81:$II$81,Veículos!$E$4:$II$4),0)
)
/
Proposta!$J$62),2),"")</f>
        <v/>
      </c>
    </row>
    <row r="159" spans="2:10">
      <c r="B159" s="250">
        <v>154</v>
      </c>
      <c r="C159" s="250"/>
      <c r="D159" s="386"/>
      <c r="E159" s="250" t="str">
        <f>IFERROR(VLOOKUP($D159,'Apoio - Mat Coletivo e Equip'!$A:$D,2,FALSE),"")</f>
        <v/>
      </c>
      <c r="F159" s="449"/>
      <c r="G159" s="743" t="str">
        <f>IFERROR(VLOOKUP($D159,'Apoio - Mat Coletivo e Equip'!$A:$D,3,FALSE),"")</f>
        <v/>
      </c>
      <c r="H159" s="742" t="str">
        <f>IFERROR(IF(VLOOKUP($D159,'Apoio - Mat Coletivo e Equip'!$A:$D,4,FALSE)=0,"",VLOOKUP($D159,'Apoio - Mat Coletivo e Equip'!$A:$D,4,FALSE)),"")</f>
        <v/>
      </c>
      <c r="I159" s="774" t="str">
        <f>IFERROR(ROUND((IF(ISNUMBER(H159),H159*'Mão de Obra'!$D$12/12,1)*G159*F159)/'Mão de Obra'!$D$12,2),"")</f>
        <v/>
      </c>
      <c r="J159" s="774" t="str">
        <f>IFERROR(ROUND(I159*(1+
SUM(
IFERROR(SUMPRODUCT('Mão de Obra'!$E$169:$II$169,'Mão de Obra'!$E$29:$II$29),0),
IFERROR(SUMPRODUCT(Produtividade!$E$171:$II$171,Produtividade!$E$29:$II$29),0),
IFERROR(SUMPRODUCT(Veículos!$E$81:$II$81,Veículos!$E$4:$II$4),0)
)
/
Proposta!$J$62),2),"")</f>
        <v/>
      </c>
    </row>
    <row r="160" spans="2:10">
      <c r="B160" s="250">
        <v>155</v>
      </c>
      <c r="C160" s="250"/>
      <c r="D160" s="386"/>
      <c r="E160" s="250" t="str">
        <f>IFERROR(VLOOKUP($D160,'Apoio - Mat Coletivo e Equip'!$A:$D,2,FALSE),"")</f>
        <v/>
      </c>
      <c r="F160" s="449"/>
      <c r="G160" s="743" t="str">
        <f>IFERROR(VLOOKUP($D160,'Apoio - Mat Coletivo e Equip'!$A:$D,3,FALSE),"")</f>
        <v/>
      </c>
      <c r="H160" s="742" t="str">
        <f>IFERROR(IF(VLOOKUP($D160,'Apoio - Mat Coletivo e Equip'!$A:$D,4,FALSE)=0,"",VLOOKUP($D160,'Apoio - Mat Coletivo e Equip'!$A:$D,4,FALSE)),"")</f>
        <v/>
      </c>
      <c r="I160" s="774" t="str">
        <f>IFERROR(ROUND((IF(ISNUMBER(H160),H160*'Mão de Obra'!$D$12/12,1)*G160*F160)/'Mão de Obra'!$D$12,2),"")</f>
        <v/>
      </c>
      <c r="J160" s="774" t="str">
        <f>IFERROR(ROUND(I160*(1+
SUM(
IFERROR(SUMPRODUCT('Mão de Obra'!$E$169:$II$169,'Mão de Obra'!$E$29:$II$29),0),
IFERROR(SUMPRODUCT(Produtividade!$E$171:$II$171,Produtividade!$E$29:$II$29),0),
IFERROR(SUMPRODUCT(Veículos!$E$81:$II$81,Veículos!$E$4:$II$4),0)
)
/
Proposta!$J$62),2),"")</f>
        <v/>
      </c>
    </row>
    <row r="161" spans="2:10">
      <c r="B161" s="250">
        <v>156</v>
      </c>
      <c r="C161" s="250"/>
      <c r="D161" s="386"/>
      <c r="E161" s="250" t="str">
        <f>IFERROR(VLOOKUP($D161,'Apoio - Mat Coletivo e Equip'!$A:$D,2,FALSE),"")</f>
        <v/>
      </c>
      <c r="F161" s="449"/>
      <c r="G161" s="743" t="str">
        <f>IFERROR(VLOOKUP($D161,'Apoio - Mat Coletivo e Equip'!$A:$D,3,FALSE),"")</f>
        <v/>
      </c>
      <c r="H161" s="742" t="str">
        <f>IFERROR(IF(VLOOKUP($D161,'Apoio - Mat Coletivo e Equip'!$A:$D,4,FALSE)=0,"",VLOOKUP($D161,'Apoio - Mat Coletivo e Equip'!$A:$D,4,FALSE)),"")</f>
        <v/>
      </c>
      <c r="I161" s="774" t="str">
        <f>IFERROR(ROUND((IF(ISNUMBER(H161),H161*'Mão de Obra'!$D$12/12,1)*G161*F161)/'Mão de Obra'!$D$12,2),"")</f>
        <v/>
      </c>
      <c r="J161" s="774" t="str">
        <f>IFERROR(ROUND(I161*(1+
SUM(
IFERROR(SUMPRODUCT('Mão de Obra'!$E$169:$II$169,'Mão de Obra'!$E$29:$II$29),0),
IFERROR(SUMPRODUCT(Produtividade!$E$171:$II$171,Produtividade!$E$29:$II$29),0),
IFERROR(SUMPRODUCT(Veículos!$E$81:$II$81,Veículos!$E$4:$II$4),0)
)
/
Proposta!$J$62),2),"")</f>
        <v/>
      </c>
    </row>
    <row r="162" spans="2:10">
      <c r="B162" s="250">
        <v>157</v>
      </c>
      <c r="C162" s="250"/>
      <c r="D162" s="386"/>
      <c r="E162" s="250" t="str">
        <f>IFERROR(VLOOKUP($D162,'Apoio - Mat Coletivo e Equip'!$A:$D,2,FALSE),"")</f>
        <v/>
      </c>
      <c r="F162" s="449"/>
      <c r="G162" s="743" t="str">
        <f>IFERROR(VLOOKUP($D162,'Apoio - Mat Coletivo e Equip'!$A:$D,3,FALSE),"")</f>
        <v/>
      </c>
      <c r="H162" s="742" t="str">
        <f>IFERROR(IF(VLOOKUP($D162,'Apoio - Mat Coletivo e Equip'!$A:$D,4,FALSE)=0,"",VLOOKUP($D162,'Apoio - Mat Coletivo e Equip'!$A:$D,4,FALSE)),"")</f>
        <v/>
      </c>
      <c r="I162" s="774" t="str">
        <f>IFERROR(ROUND((IF(ISNUMBER(H162),H162*'Mão de Obra'!$D$12/12,1)*G162*F162)/'Mão de Obra'!$D$12,2),"")</f>
        <v/>
      </c>
      <c r="J162" s="774" t="str">
        <f>IFERROR(ROUND(I162*(1+
SUM(
IFERROR(SUMPRODUCT('Mão de Obra'!$E$169:$II$169,'Mão de Obra'!$E$29:$II$29),0),
IFERROR(SUMPRODUCT(Produtividade!$E$171:$II$171,Produtividade!$E$29:$II$29),0),
IFERROR(SUMPRODUCT(Veículos!$E$81:$II$81,Veículos!$E$4:$II$4),0)
)
/
Proposta!$J$62),2),"")</f>
        <v/>
      </c>
    </row>
    <row r="163" spans="2:10">
      <c r="B163" s="250">
        <v>158</v>
      </c>
      <c r="C163" s="250"/>
      <c r="D163" s="386"/>
      <c r="E163" s="250" t="str">
        <f>IFERROR(VLOOKUP($D163,'Apoio - Mat Coletivo e Equip'!$A:$D,2,FALSE),"")</f>
        <v/>
      </c>
      <c r="F163" s="449"/>
      <c r="G163" s="743" t="str">
        <f>IFERROR(VLOOKUP($D163,'Apoio - Mat Coletivo e Equip'!$A:$D,3,FALSE),"")</f>
        <v/>
      </c>
      <c r="H163" s="742" t="str">
        <f>IFERROR(IF(VLOOKUP($D163,'Apoio - Mat Coletivo e Equip'!$A:$D,4,FALSE)=0,"",VLOOKUP($D163,'Apoio - Mat Coletivo e Equip'!$A:$D,4,FALSE)),"")</f>
        <v/>
      </c>
      <c r="I163" s="774" t="str">
        <f>IFERROR(ROUND((IF(ISNUMBER(H163),H163*'Mão de Obra'!$D$12/12,1)*G163*F163)/'Mão de Obra'!$D$12,2),"")</f>
        <v/>
      </c>
      <c r="J163" s="774" t="str">
        <f>IFERROR(ROUND(I163*(1+
SUM(
IFERROR(SUMPRODUCT('Mão de Obra'!$E$169:$II$169,'Mão de Obra'!$E$29:$II$29),0),
IFERROR(SUMPRODUCT(Produtividade!$E$171:$II$171,Produtividade!$E$29:$II$29),0),
IFERROR(SUMPRODUCT(Veículos!$E$81:$II$81,Veículos!$E$4:$II$4),0)
)
/
Proposta!$J$62),2),"")</f>
        <v/>
      </c>
    </row>
    <row r="164" spans="2:10">
      <c r="B164" s="250">
        <v>159</v>
      </c>
      <c r="C164" s="250"/>
      <c r="D164" s="386"/>
      <c r="E164" s="250" t="str">
        <f>IFERROR(VLOOKUP($D164,'Apoio - Mat Coletivo e Equip'!$A:$D,2,FALSE),"")</f>
        <v/>
      </c>
      <c r="F164" s="449"/>
      <c r="G164" s="743" t="str">
        <f>IFERROR(VLOOKUP($D164,'Apoio - Mat Coletivo e Equip'!$A:$D,3,FALSE),"")</f>
        <v/>
      </c>
      <c r="H164" s="742" t="str">
        <f>IFERROR(IF(VLOOKUP($D164,'Apoio - Mat Coletivo e Equip'!$A:$D,4,FALSE)=0,"",VLOOKUP($D164,'Apoio - Mat Coletivo e Equip'!$A:$D,4,FALSE)),"")</f>
        <v/>
      </c>
      <c r="I164" s="774" t="str">
        <f>IFERROR(ROUND((IF(ISNUMBER(H164),H164*'Mão de Obra'!$D$12/12,1)*G164*F164)/'Mão de Obra'!$D$12,2),"")</f>
        <v/>
      </c>
      <c r="J164" s="774" t="str">
        <f>IFERROR(ROUND(I164*(1+
SUM(
IFERROR(SUMPRODUCT('Mão de Obra'!$E$169:$II$169,'Mão de Obra'!$E$29:$II$29),0),
IFERROR(SUMPRODUCT(Produtividade!$E$171:$II$171,Produtividade!$E$29:$II$29),0),
IFERROR(SUMPRODUCT(Veículos!$E$81:$II$81,Veículos!$E$4:$II$4),0)
)
/
Proposta!$J$62),2),"")</f>
        <v/>
      </c>
    </row>
    <row r="165" spans="2:10">
      <c r="B165" s="250">
        <v>160</v>
      </c>
      <c r="C165" s="250"/>
      <c r="D165" s="386"/>
      <c r="E165" s="250" t="str">
        <f>IFERROR(VLOOKUP($D165,'Apoio - Mat Coletivo e Equip'!$A:$D,2,FALSE),"")</f>
        <v/>
      </c>
      <c r="F165" s="449"/>
      <c r="G165" s="743" t="str">
        <f>IFERROR(VLOOKUP($D165,'Apoio - Mat Coletivo e Equip'!$A:$D,3,FALSE),"")</f>
        <v/>
      </c>
      <c r="H165" s="742" t="str">
        <f>IFERROR(IF(VLOOKUP($D165,'Apoio - Mat Coletivo e Equip'!$A:$D,4,FALSE)=0,"",VLOOKUP($D165,'Apoio - Mat Coletivo e Equip'!$A:$D,4,FALSE)),"")</f>
        <v/>
      </c>
      <c r="I165" s="774" t="str">
        <f>IFERROR(ROUND((IF(ISNUMBER(H165),H165*'Mão de Obra'!$D$12/12,1)*G165*F165)/'Mão de Obra'!$D$12,2),"")</f>
        <v/>
      </c>
      <c r="J165" s="774" t="str">
        <f>IFERROR(ROUND(I165*(1+
SUM(
IFERROR(SUMPRODUCT('Mão de Obra'!$E$169:$II$169,'Mão de Obra'!$E$29:$II$29),0),
IFERROR(SUMPRODUCT(Produtividade!$E$171:$II$171,Produtividade!$E$29:$II$29),0),
IFERROR(SUMPRODUCT(Veículos!$E$81:$II$81,Veículos!$E$4:$II$4),0)
)
/
Proposta!$J$62),2),"")</f>
        <v/>
      </c>
    </row>
    <row r="166" spans="2:10">
      <c r="B166" s="250">
        <v>161</v>
      </c>
      <c r="C166" s="250"/>
      <c r="D166" s="386"/>
      <c r="E166" s="250" t="str">
        <f>IFERROR(VLOOKUP($D166,'Apoio - Mat Coletivo e Equip'!$A:$D,2,FALSE),"")</f>
        <v/>
      </c>
      <c r="F166" s="449"/>
      <c r="G166" s="743" t="str">
        <f>IFERROR(VLOOKUP($D166,'Apoio - Mat Coletivo e Equip'!$A:$D,3,FALSE),"")</f>
        <v/>
      </c>
      <c r="H166" s="742" t="str">
        <f>IFERROR(IF(VLOOKUP($D166,'Apoio - Mat Coletivo e Equip'!$A:$D,4,FALSE)=0,"",VLOOKUP($D166,'Apoio - Mat Coletivo e Equip'!$A:$D,4,FALSE)),"")</f>
        <v/>
      </c>
      <c r="I166" s="774" t="str">
        <f>IFERROR(ROUND((IF(ISNUMBER(H166),H166*'Mão de Obra'!$D$12/12,1)*G166*F166)/'Mão de Obra'!$D$12,2),"")</f>
        <v/>
      </c>
      <c r="J166" s="774" t="str">
        <f>IFERROR(ROUND(I166*(1+
SUM(
IFERROR(SUMPRODUCT('Mão de Obra'!$E$169:$II$169,'Mão de Obra'!$E$29:$II$29),0),
IFERROR(SUMPRODUCT(Produtividade!$E$171:$II$171,Produtividade!$E$29:$II$29),0),
IFERROR(SUMPRODUCT(Veículos!$E$81:$II$81,Veículos!$E$4:$II$4),0)
)
/
Proposta!$J$62),2),"")</f>
        <v/>
      </c>
    </row>
    <row r="167" spans="2:10">
      <c r="B167" s="250">
        <v>162</v>
      </c>
      <c r="C167" s="250"/>
      <c r="D167" s="386"/>
      <c r="E167" s="250" t="str">
        <f>IFERROR(VLOOKUP($D167,'Apoio - Mat Coletivo e Equip'!$A:$D,2,FALSE),"")</f>
        <v/>
      </c>
      <c r="F167" s="449"/>
      <c r="G167" s="743" t="str">
        <f>IFERROR(VLOOKUP($D167,'Apoio - Mat Coletivo e Equip'!$A:$D,3,FALSE),"")</f>
        <v/>
      </c>
      <c r="H167" s="742" t="str">
        <f>IFERROR(IF(VLOOKUP($D167,'Apoio - Mat Coletivo e Equip'!$A:$D,4,FALSE)=0,"",VLOOKUP($D167,'Apoio - Mat Coletivo e Equip'!$A:$D,4,FALSE)),"")</f>
        <v/>
      </c>
      <c r="I167" s="774" t="str">
        <f>IFERROR(ROUND((IF(ISNUMBER(H167),H167*'Mão de Obra'!$D$12/12,1)*G167*F167)/'Mão de Obra'!$D$12,2),"")</f>
        <v/>
      </c>
      <c r="J167" s="774" t="str">
        <f>IFERROR(ROUND(I167*(1+
SUM(
IFERROR(SUMPRODUCT('Mão de Obra'!$E$169:$II$169,'Mão de Obra'!$E$29:$II$29),0),
IFERROR(SUMPRODUCT(Produtividade!$E$171:$II$171,Produtividade!$E$29:$II$29),0),
IFERROR(SUMPRODUCT(Veículos!$E$81:$II$81,Veículos!$E$4:$II$4),0)
)
/
Proposta!$J$62),2),"")</f>
        <v/>
      </c>
    </row>
    <row r="168" spans="2:10">
      <c r="B168" s="250">
        <v>163</v>
      </c>
      <c r="C168" s="250"/>
      <c r="D168" s="386"/>
      <c r="E168" s="250" t="str">
        <f>IFERROR(VLOOKUP($D168,'Apoio - Mat Coletivo e Equip'!$A:$D,2,FALSE),"")</f>
        <v/>
      </c>
      <c r="F168" s="449"/>
      <c r="G168" s="743" t="str">
        <f>IFERROR(VLOOKUP($D168,'Apoio - Mat Coletivo e Equip'!$A:$D,3,FALSE),"")</f>
        <v/>
      </c>
      <c r="H168" s="742" t="str">
        <f>IFERROR(IF(VLOOKUP($D168,'Apoio - Mat Coletivo e Equip'!$A:$D,4,FALSE)=0,"",VLOOKUP($D168,'Apoio - Mat Coletivo e Equip'!$A:$D,4,FALSE)),"")</f>
        <v/>
      </c>
      <c r="I168" s="774" t="str">
        <f>IFERROR(ROUND((IF(ISNUMBER(H168),H168*'Mão de Obra'!$D$12/12,1)*G168*F168)/'Mão de Obra'!$D$12,2),"")</f>
        <v/>
      </c>
      <c r="J168" s="774" t="str">
        <f>IFERROR(ROUND(I168*(1+
SUM(
IFERROR(SUMPRODUCT('Mão de Obra'!$E$169:$II$169,'Mão de Obra'!$E$29:$II$29),0),
IFERROR(SUMPRODUCT(Produtividade!$E$171:$II$171,Produtividade!$E$29:$II$29),0),
IFERROR(SUMPRODUCT(Veículos!$E$81:$II$81,Veículos!$E$4:$II$4),0)
)
/
Proposta!$J$62),2),"")</f>
        <v/>
      </c>
    </row>
    <row r="169" spans="2:10">
      <c r="B169" s="250">
        <v>164</v>
      </c>
      <c r="C169" s="250"/>
      <c r="D169" s="386"/>
      <c r="E169" s="250" t="str">
        <f>IFERROR(VLOOKUP($D169,'Apoio - Mat Coletivo e Equip'!$A:$D,2,FALSE),"")</f>
        <v/>
      </c>
      <c r="F169" s="449"/>
      <c r="G169" s="743" t="str">
        <f>IFERROR(VLOOKUP($D169,'Apoio - Mat Coletivo e Equip'!$A:$D,3,FALSE),"")</f>
        <v/>
      </c>
      <c r="H169" s="742" t="str">
        <f>IFERROR(IF(VLOOKUP($D169,'Apoio - Mat Coletivo e Equip'!$A:$D,4,FALSE)=0,"",VLOOKUP($D169,'Apoio - Mat Coletivo e Equip'!$A:$D,4,FALSE)),"")</f>
        <v/>
      </c>
      <c r="I169" s="774" t="str">
        <f>IFERROR(ROUND((IF(ISNUMBER(H169),H169*'Mão de Obra'!$D$12/12,1)*G169*F169)/'Mão de Obra'!$D$12,2),"")</f>
        <v/>
      </c>
      <c r="J169" s="774" t="str">
        <f>IFERROR(ROUND(I169*(1+
SUM(
IFERROR(SUMPRODUCT('Mão de Obra'!$E$169:$II$169,'Mão de Obra'!$E$29:$II$29),0),
IFERROR(SUMPRODUCT(Produtividade!$E$171:$II$171,Produtividade!$E$29:$II$29),0),
IFERROR(SUMPRODUCT(Veículos!$E$81:$II$81,Veículos!$E$4:$II$4),0)
)
/
Proposta!$J$62),2),"")</f>
        <v/>
      </c>
    </row>
    <row r="170" spans="2:10">
      <c r="B170" s="250">
        <v>165</v>
      </c>
      <c r="C170" s="250"/>
      <c r="D170" s="386"/>
      <c r="E170" s="250" t="str">
        <f>IFERROR(VLOOKUP($D170,'Apoio - Mat Coletivo e Equip'!$A:$D,2,FALSE),"")</f>
        <v/>
      </c>
      <c r="F170" s="449"/>
      <c r="G170" s="743" t="str">
        <f>IFERROR(VLOOKUP($D170,'Apoio - Mat Coletivo e Equip'!$A:$D,3,FALSE),"")</f>
        <v/>
      </c>
      <c r="H170" s="742" t="str">
        <f>IFERROR(IF(VLOOKUP($D170,'Apoio - Mat Coletivo e Equip'!$A:$D,4,FALSE)=0,"",VLOOKUP($D170,'Apoio - Mat Coletivo e Equip'!$A:$D,4,FALSE)),"")</f>
        <v/>
      </c>
      <c r="I170" s="774" t="str">
        <f>IFERROR(ROUND((IF(ISNUMBER(H170),H170*'Mão de Obra'!$D$12/12,1)*G170*F170)/'Mão de Obra'!$D$12,2),"")</f>
        <v/>
      </c>
      <c r="J170" s="774" t="str">
        <f>IFERROR(ROUND(I170*(1+
SUM(
IFERROR(SUMPRODUCT('Mão de Obra'!$E$169:$II$169,'Mão de Obra'!$E$29:$II$29),0),
IFERROR(SUMPRODUCT(Produtividade!$E$171:$II$171,Produtividade!$E$29:$II$29),0),
IFERROR(SUMPRODUCT(Veículos!$E$81:$II$81,Veículos!$E$4:$II$4),0)
)
/
Proposta!$J$62),2),"")</f>
        <v/>
      </c>
    </row>
    <row r="171" spans="2:10">
      <c r="B171" s="250">
        <v>166</v>
      </c>
      <c r="C171" s="250"/>
      <c r="D171" s="386"/>
      <c r="E171" s="250" t="str">
        <f>IFERROR(VLOOKUP($D171,'Apoio - Mat Coletivo e Equip'!$A:$D,2,FALSE),"")</f>
        <v/>
      </c>
      <c r="F171" s="449"/>
      <c r="G171" s="743" t="str">
        <f>IFERROR(VLOOKUP($D171,'Apoio - Mat Coletivo e Equip'!$A:$D,3,FALSE),"")</f>
        <v/>
      </c>
      <c r="H171" s="742" t="str">
        <f>IFERROR(IF(VLOOKUP($D171,'Apoio - Mat Coletivo e Equip'!$A:$D,4,FALSE)=0,"",VLOOKUP($D171,'Apoio - Mat Coletivo e Equip'!$A:$D,4,FALSE)),"")</f>
        <v/>
      </c>
      <c r="I171" s="774" t="str">
        <f>IFERROR(ROUND((IF(ISNUMBER(H171),H171*'Mão de Obra'!$D$12/12,1)*G171*F171)/'Mão de Obra'!$D$12,2),"")</f>
        <v/>
      </c>
      <c r="J171" s="774" t="str">
        <f>IFERROR(ROUND(I171*(1+
SUM(
IFERROR(SUMPRODUCT('Mão de Obra'!$E$169:$II$169,'Mão de Obra'!$E$29:$II$29),0),
IFERROR(SUMPRODUCT(Produtividade!$E$171:$II$171,Produtividade!$E$29:$II$29),0),
IFERROR(SUMPRODUCT(Veículos!$E$81:$II$81,Veículos!$E$4:$II$4),0)
)
/
Proposta!$J$62),2),"")</f>
        <v/>
      </c>
    </row>
    <row r="172" spans="2:10">
      <c r="B172" s="250">
        <v>167</v>
      </c>
      <c r="C172" s="250"/>
      <c r="D172" s="386"/>
      <c r="E172" s="250" t="str">
        <f>IFERROR(VLOOKUP($D172,'Apoio - Mat Coletivo e Equip'!$A:$D,2,FALSE),"")</f>
        <v/>
      </c>
      <c r="F172" s="449"/>
      <c r="G172" s="743" t="str">
        <f>IFERROR(VLOOKUP($D172,'Apoio - Mat Coletivo e Equip'!$A:$D,3,FALSE),"")</f>
        <v/>
      </c>
      <c r="H172" s="742" t="str">
        <f>IFERROR(IF(VLOOKUP($D172,'Apoio - Mat Coletivo e Equip'!$A:$D,4,FALSE)=0,"",VLOOKUP($D172,'Apoio - Mat Coletivo e Equip'!$A:$D,4,FALSE)),"")</f>
        <v/>
      </c>
      <c r="I172" s="774" t="str">
        <f>IFERROR(ROUND((IF(ISNUMBER(H172),H172*'Mão de Obra'!$D$12/12,1)*G172*F172)/'Mão de Obra'!$D$12,2),"")</f>
        <v/>
      </c>
      <c r="J172" s="774" t="str">
        <f>IFERROR(ROUND(I172*(1+
SUM(
IFERROR(SUMPRODUCT('Mão de Obra'!$E$169:$II$169,'Mão de Obra'!$E$29:$II$29),0),
IFERROR(SUMPRODUCT(Produtividade!$E$171:$II$171,Produtividade!$E$29:$II$29),0),
IFERROR(SUMPRODUCT(Veículos!$E$81:$II$81,Veículos!$E$4:$II$4),0)
)
/
Proposta!$J$62),2),"")</f>
        <v/>
      </c>
    </row>
    <row r="173" spans="2:10">
      <c r="B173" s="250">
        <v>168</v>
      </c>
      <c r="C173" s="250"/>
      <c r="D173" s="386"/>
      <c r="E173" s="250" t="str">
        <f>IFERROR(VLOOKUP($D173,'Apoio - Mat Coletivo e Equip'!$A:$D,2,FALSE),"")</f>
        <v/>
      </c>
      <c r="F173" s="449"/>
      <c r="G173" s="743" t="str">
        <f>IFERROR(VLOOKUP($D173,'Apoio - Mat Coletivo e Equip'!$A:$D,3,FALSE),"")</f>
        <v/>
      </c>
      <c r="H173" s="742" t="str">
        <f>IFERROR(IF(VLOOKUP($D173,'Apoio - Mat Coletivo e Equip'!$A:$D,4,FALSE)=0,"",VLOOKUP($D173,'Apoio - Mat Coletivo e Equip'!$A:$D,4,FALSE)),"")</f>
        <v/>
      </c>
      <c r="I173" s="774" t="str">
        <f>IFERROR(ROUND((IF(ISNUMBER(H173),H173*'Mão de Obra'!$D$12/12,1)*G173*F173)/'Mão de Obra'!$D$12,2),"")</f>
        <v/>
      </c>
      <c r="J173" s="774" t="str">
        <f>IFERROR(ROUND(I173*(1+
SUM(
IFERROR(SUMPRODUCT('Mão de Obra'!$E$169:$II$169,'Mão de Obra'!$E$29:$II$29),0),
IFERROR(SUMPRODUCT(Produtividade!$E$171:$II$171,Produtividade!$E$29:$II$29),0),
IFERROR(SUMPRODUCT(Veículos!$E$81:$II$81,Veículos!$E$4:$II$4),0)
)
/
Proposta!$J$62),2),"")</f>
        <v/>
      </c>
    </row>
    <row r="174" spans="2:10">
      <c r="B174" s="250">
        <v>169</v>
      </c>
      <c r="C174" s="250"/>
      <c r="D174" s="386"/>
      <c r="E174" s="250" t="str">
        <f>IFERROR(VLOOKUP($D174,'Apoio - Mat Coletivo e Equip'!$A:$D,2,FALSE),"")</f>
        <v/>
      </c>
      <c r="F174" s="449"/>
      <c r="G174" s="743" t="str">
        <f>IFERROR(VLOOKUP($D174,'Apoio - Mat Coletivo e Equip'!$A:$D,3,FALSE),"")</f>
        <v/>
      </c>
      <c r="H174" s="742" t="str">
        <f>IFERROR(IF(VLOOKUP($D174,'Apoio - Mat Coletivo e Equip'!$A:$D,4,FALSE)=0,"",VLOOKUP($D174,'Apoio - Mat Coletivo e Equip'!$A:$D,4,FALSE)),"")</f>
        <v/>
      </c>
      <c r="I174" s="774" t="str">
        <f>IFERROR(ROUND((IF(ISNUMBER(H174),H174*'Mão de Obra'!$D$12/12,1)*G174*F174)/'Mão de Obra'!$D$12,2),"")</f>
        <v/>
      </c>
      <c r="J174" s="774" t="str">
        <f>IFERROR(ROUND(I174*(1+
SUM(
IFERROR(SUMPRODUCT('Mão de Obra'!$E$169:$II$169,'Mão de Obra'!$E$29:$II$29),0),
IFERROR(SUMPRODUCT(Produtividade!$E$171:$II$171,Produtividade!$E$29:$II$29),0),
IFERROR(SUMPRODUCT(Veículos!$E$81:$II$81,Veículos!$E$4:$II$4),0)
)
/
Proposta!$J$62),2),"")</f>
        <v/>
      </c>
    </row>
    <row r="175" spans="2:10">
      <c r="B175" s="250">
        <v>170</v>
      </c>
      <c r="C175" s="250"/>
      <c r="D175" s="386"/>
      <c r="E175" s="250" t="str">
        <f>IFERROR(VLOOKUP($D175,'Apoio - Mat Coletivo e Equip'!$A:$D,2,FALSE),"")</f>
        <v/>
      </c>
      <c r="F175" s="449"/>
      <c r="G175" s="743" t="str">
        <f>IFERROR(VLOOKUP($D175,'Apoio - Mat Coletivo e Equip'!$A:$D,3,FALSE),"")</f>
        <v/>
      </c>
      <c r="H175" s="742" t="str">
        <f>IFERROR(IF(VLOOKUP($D175,'Apoio - Mat Coletivo e Equip'!$A:$D,4,FALSE)=0,"",VLOOKUP($D175,'Apoio - Mat Coletivo e Equip'!$A:$D,4,FALSE)),"")</f>
        <v/>
      </c>
      <c r="I175" s="774" t="str">
        <f>IFERROR(ROUND((IF(ISNUMBER(H175),H175*'Mão de Obra'!$D$12/12,1)*G175*F175)/'Mão de Obra'!$D$12,2),"")</f>
        <v/>
      </c>
      <c r="J175" s="774" t="str">
        <f>IFERROR(ROUND(I175*(1+
SUM(
IFERROR(SUMPRODUCT('Mão de Obra'!$E$169:$II$169,'Mão de Obra'!$E$29:$II$29),0),
IFERROR(SUMPRODUCT(Produtividade!$E$171:$II$171,Produtividade!$E$29:$II$29),0),
IFERROR(SUMPRODUCT(Veículos!$E$81:$II$81,Veículos!$E$4:$II$4),0)
)
/
Proposta!$J$62),2),"")</f>
        <v/>
      </c>
    </row>
    <row r="176" spans="2:10">
      <c r="B176" s="250">
        <v>171</v>
      </c>
      <c r="C176" s="250"/>
      <c r="D176" s="386"/>
      <c r="E176" s="250" t="str">
        <f>IFERROR(VLOOKUP($D176,'Apoio - Mat Coletivo e Equip'!$A:$D,2,FALSE),"")</f>
        <v/>
      </c>
      <c r="F176" s="449"/>
      <c r="G176" s="743" t="str">
        <f>IFERROR(VLOOKUP($D176,'Apoio - Mat Coletivo e Equip'!$A:$D,3,FALSE),"")</f>
        <v/>
      </c>
      <c r="H176" s="742" t="str">
        <f>IFERROR(IF(VLOOKUP($D176,'Apoio - Mat Coletivo e Equip'!$A:$D,4,FALSE)=0,"",VLOOKUP($D176,'Apoio - Mat Coletivo e Equip'!$A:$D,4,FALSE)),"")</f>
        <v/>
      </c>
      <c r="I176" s="774" t="str">
        <f>IFERROR(ROUND((IF(ISNUMBER(H176),H176*'Mão de Obra'!$D$12/12,1)*G176*F176)/'Mão de Obra'!$D$12,2),"")</f>
        <v/>
      </c>
      <c r="J176" s="774" t="str">
        <f>IFERROR(ROUND(I176*(1+
SUM(
IFERROR(SUMPRODUCT('Mão de Obra'!$E$169:$II$169,'Mão de Obra'!$E$29:$II$29),0),
IFERROR(SUMPRODUCT(Produtividade!$E$171:$II$171,Produtividade!$E$29:$II$29),0),
IFERROR(SUMPRODUCT(Veículos!$E$81:$II$81,Veículos!$E$4:$II$4),0)
)
/
Proposta!$J$62),2),"")</f>
        <v/>
      </c>
    </row>
    <row r="177" spans="2:10">
      <c r="B177" s="250">
        <v>172</v>
      </c>
      <c r="C177" s="250"/>
      <c r="D177" s="386"/>
      <c r="E177" s="250" t="str">
        <f>IFERROR(VLOOKUP($D177,'Apoio - Mat Coletivo e Equip'!$A:$D,2,FALSE),"")</f>
        <v/>
      </c>
      <c r="F177" s="449"/>
      <c r="G177" s="743" t="str">
        <f>IFERROR(VLOOKUP($D177,'Apoio - Mat Coletivo e Equip'!$A:$D,3,FALSE),"")</f>
        <v/>
      </c>
      <c r="H177" s="742" t="str">
        <f>IFERROR(IF(VLOOKUP($D177,'Apoio - Mat Coletivo e Equip'!$A:$D,4,FALSE)=0,"",VLOOKUP($D177,'Apoio - Mat Coletivo e Equip'!$A:$D,4,FALSE)),"")</f>
        <v/>
      </c>
      <c r="I177" s="774" t="str">
        <f>IFERROR(ROUND((IF(ISNUMBER(H177),H177*'Mão de Obra'!$D$12/12,1)*G177*F177)/'Mão de Obra'!$D$12,2),"")</f>
        <v/>
      </c>
      <c r="J177" s="774" t="str">
        <f>IFERROR(ROUND(I177*(1+
SUM(
IFERROR(SUMPRODUCT('Mão de Obra'!$E$169:$II$169,'Mão de Obra'!$E$29:$II$29),0),
IFERROR(SUMPRODUCT(Produtividade!$E$171:$II$171,Produtividade!$E$29:$II$29),0),
IFERROR(SUMPRODUCT(Veículos!$E$81:$II$81,Veículos!$E$4:$II$4),0)
)
/
Proposta!$J$62),2),"")</f>
        <v/>
      </c>
    </row>
    <row r="178" spans="2:10">
      <c r="B178" s="250">
        <v>173</v>
      </c>
      <c r="C178" s="250"/>
      <c r="D178" s="386"/>
      <c r="E178" s="250" t="str">
        <f>IFERROR(VLOOKUP($D178,'Apoio - Mat Coletivo e Equip'!$A:$D,2,FALSE),"")</f>
        <v/>
      </c>
      <c r="F178" s="449"/>
      <c r="G178" s="743" t="str">
        <f>IFERROR(VLOOKUP($D178,'Apoio - Mat Coletivo e Equip'!$A:$D,3,FALSE),"")</f>
        <v/>
      </c>
      <c r="H178" s="742" t="str">
        <f>IFERROR(IF(VLOOKUP($D178,'Apoio - Mat Coletivo e Equip'!$A:$D,4,FALSE)=0,"",VLOOKUP($D178,'Apoio - Mat Coletivo e Equip'!$A:$D,4,FALSE)),"")</f>
        <v/>
      </c>
      <c r="I178" s="774" t="str">
        <f>IFERROR(ROUND((IF(ISNUMBER(H178),H178*'Mão de Obra'!$D$12/12,1)*G178*F178)/'Mão de Obra'!$D$12,2),"")</f>
        <v/>
      </c>
      <c r="J178" s="774" t="str">
        <f>IFERROR(ROUND(I178*(1+
SUM(
IFERROR(SUMPRODUCT('Mão de Obra'!$E$169:$II$169,'Mão de Obra'!$E$29:$II$29),0),
IFERROR(SUMPRODUCT(Produtividade!$E$171:$II$171,Produtividade!$E$29:$II$29),0),
IFERROR(SUMPRODUCT(Veículos!$E$81:$II$81,Veículos!$E$4:$II$4),0)
)
/
Proposta!$J$62),2),"")</f>
        <v/>
      </c>
    </row>
    <row r="179" spans="2:10">
      <c r="B179" s="250">
        <v>174</v>
      </c>
      <c r="C179" s="250"/>
      <c r="D179" s="386"/>
      <c r="E179" s="250" t="str">
        <f>IFERROR(VLOOKUP($D179,'Apoio - Mat Coletivo e Equip'!$A:$D,2,FALSE),"")</f>
        <v/>
      </c>
      <c r="F179" s="449"/>
      <c r="G179" s="743" t="str">
        <f>IFERROR(VLOOKUP($D179,'Apoio - Mat Coletivo e Equip'!$A:$D,3,FALSE),"")</f>
        <v/>
      </c>
      <c r="H179" s="742" t="str">
        <f>IFERROR(IF(VLOOKUP($D179,'Apoio - Mat Coletivo e Equip'!$A:$D,4,FALSE)=0,"",VLOOKUP($D179,'Apoio - Mat Coletivo e Equip'!$A:$D,4,FALSE)),"")</f>
        <v/>
      </c>
      <c r="I179" s="774" t="str">
        <f>IFERROR(ROUND((IF(ISNUMBER(H179),H179*'Mão de Obra'!$D$12/12,1)*G179*F179)/'Mão de Obra'!$D$12,2),"")</f>
        <v/>
      </c>
      <c r="J179" s="774" t="str">
        <f>IFERROR(ROUND(I179*(1+
SUM(
IFERROR(SUMPRODUCT('Mão de Obra'!$E$169:$II$169,'Mão de Obra'!$E$29:$II$29),0),
IFERROR(SUMPRODUCT(Produtividade!$E$171:$II$171,Produtividade!$E$29:$II$29),0),
IFERROR(SUMPRODUCT(Veículos!$E$81:$II$81,Veículos!$E$4:$II$4),0)
)
/
Proposta!$J$62),2),"")</f>
        <v/>
      </c>
    </row>
    <row r="180" spans="2:10">
      <c r="B180" s="250">
        <v>175</v>
      </c>
      <c r="C180" s="250"/>
      <c r="D180" s="386"/>
      <c r="E180" s="250" t="str">
        <f>IFERROR(VLOOKUP($D180,'Apoio - Mat Coletivo e Equip'!$A:$D,2,FALSE),"")</f>
        <v/>
      </c>
      <c r="F180" s="449"/>
      <c r="G180" s="743" t="str">
        <f>IFERROR(VLOOKUP($D180,'Apoio - Mat Coletivo e Equip'!$A:$D,3,FALSE),"")</f>
        <v/>
      </c>
      <c r="H180" s="742" t="str">
        <f>IFERROR(IF(VLOOKUP($D180,'Apoio - Mat Coletivo e Equip'!$A:$D,4,FALSE)=0,"",VLOOKUP($D180,'Apoio - Mat Coletivo e Equip'!$A:$D,4,FALSE)),"")</f>
        <v/>
      </c>
      <c r="I180" s="774" t="str">
        <f>IFERROR(ROUND((IF(ISNUMBER(H180),H180*'Mão de Obra'!$D$12/12,1)*G180*F180)/'Mão de Obra'!$D$12,2),"")</f>
        <v/>
      </c>
      <c r="J180" s="774" t="str">
        <f>IFERROR(ROUND(I180*(1+
SUM(
IFERROR(SUMPRODUCT('Mão de Obra'!$E$169:$II$169,'Mão de Obra'!$E$29:$II$29),0),
IFERROR(SUMPRODUCT(Produtividade!$E$171:$II$171,Produtividade!$E$29:$II$29),0),
IFERROR(SUMPRODUCT(Veículos!$E$81:$II$81,Veículos!$E$4:$II$4),0)
)
/
Proposta!$J$62),2),"")</f>
        <v/>
      </c>
    </row>
    <row r="181" spans="2:10">
      <c r="B181" s="250">
        <v>176</v>
      </c>
      <c r="C181" s="250"/>
      <c r="D181" s="386"/>
      <c r="E181" s="250" t="str">
        <f>IFERROR(VLOOKUP($D181,'Apoio - Mat Coletivo e Equip'!$A:$D,2,FALSE),"")</f>
        <v/>
      </c>
      <c r="F181" s="449"/>
      <c r="G181" s="743" t="str">
        <f>IFERROR(VLOOKUP($D181,'Apoio - Mat Coletivo e Equip'!$A:$D,3,FALSE),"")</f>
        <v/>
      </c>
      <c r="H181" s="742" t="str">
        <f>IFERROR(IF(VLOOKUP($D181,'Apoio - Mat Coletivo e Equip'!$A:$D,4,FALSE)=0,"",VLOOKUP($D181,'Apoio - Mat Coletivo e Equip'!$A:$D,4,FALSE)),"")</f>
        <v/>
      </c>
      <c r="I181" s="774" t="str">
        <f>IFERROR(ROUND((IF(ISNUMBER(H181),H181*'Mão de Obra'!$D$12/12,1)*G181*F181)/'Mão de Obra'!$D$12,2),"")</f>
        <v/>
      </c>
      <c r="J181" s="774" t="str">
        <f>IFERROR(ROUND(I181*(1+
SUM(
IFERROR(SUMPRODUCT('Mão de Obra'!$E$169:$II$169,'Mão de Obra'!$E$29:$II$29),0),
IFERROR(SUMPRODUCT(Produtividade!$E$171:$II$171,Produtividade!$E$29:$II$29),0),
IFERROR(SUMPRODUCT(Veículos!$E$81:$II$81,Veículos!$E$4:$II$4),0)
)
/
Proposta!$J$62),2),"")</f>
        <v/>
      </c>
    </row>
    <row r="182" spans="2:10">
      <c r="B182" s="250">
        <v>177</v>
      </c>
      <c r="C182" s="250"/>
      <c r="D182" s="386"/>
      <c r="E182" s="250" t="str">
        <f>IFERROR(VLOOKUP($D182,'Apoio - Mat Coletivo e Equip'!$A:$D,2,FALSE),"")</f>
        <v/>
      </c>
      <c r="F182" s="449"/>
      <c r="G182" s="743" t="str">
        <f>IFERROR(VLOOKUP($D182,'Apoio - Mat Coletivo e Equip'!$A:$D,3,FALSE),"")</f>
        <v/>
      </c>
      <c r="H182" s="742" t="str">
        <f>IFERROR(IF(VLOOKUP($D182,'Apoio - Mat Coletivo e Equip'!$A:$D,4,FALSE)=0,"",VLOOKUP($D182,'Apoio - Mat Coletivo e Equip'!$A:$D,4,FALSE)),"")</f>
        <v/>
      </c>
      <c r="I182" s="774" t="str">
        <f>IFERROR(ROUND((IF(ISNUMBER(H182),H182*'Mão de Obra'!$D$12/12,1)*G182*F182)/'Mão de Obra'!$D$12,2),"")</f>
        <v/>
      </c>
      <c r="J182" s="774" t="str">
        <f>IFERROR(ROUND(I182*(1+
SUM(
IFERROR(SUMPRODUCT('Mão de Obra'!$E$169:$II$169,'Mão de Obra'!$E$29:$II$29),0),
IFERROR(SUMPRODUCT(Produtividade!$E$171:$II$171,Produtividade!$E$29:$II$29),0),
IFERROR(SUMPRODUCT(Veículos!$E$81:$II$81,Veículos!$E$4:$II$4),0)
)
/
Proposta!$J$62),2),"")</f>
        <v/>
      </c>
    </row>
    <row r="183" spans="2:10">
      <c r="B183" s="250">
        <v>178</v>
      </c>
      <c r="C183" s="250"/>
      <c r="D183" s="386"/>
      <c r="E183" s="250" t="str">
        <f>IFERROR(VLOOKUP($D183,'Apoio - Mat Coletivo e Equip'!$A:$D,2,FALSE),"")</f>
        <v/>
      </c>
      <c r="F183" s="449"/>
      <c r="G183" s="743" t="str">
        <f>IFERROR(VLOOKUP($D183,'Apoio - Mat Coletivo e Equip'!$A:$D,3,FALSE),"")</f>
        <v/>
      </c>
      <c r="H183" s="742" t="str">
        <f>IFERROR(IF(VLOOKUP($D183,'Apoio - Mat Coletivo e Equip'!$A:$D,4,FALSE)=0,"",VLOOKUP($D183,'Apoio - Mat Coletivo e Equip'!$A:$D,4,FALSE)),"")</f>
        <v/>
      </c>
      <c r="I183" s="774" t="str">
        <f>IFERROR(ROUND((IF(ISNUMBER(H183),H183*'Mão de Obra'!$D$12/12,1)*G183*F183)/'Mão de Obra'!$D$12,2),"")</f>
        <v/>
      </c>
      <c r="J183" s="774" t="str">
        <f>IFERROR(ROUND(I183*(1+
SUM(
IFERROR(SUMPRODUCT('Mão de Obra'!$E$169:$II$169,'Mão de Obra'!$E$29:$II$29),0),
IFERROR(SUMPRODUCT(Produtividade!$E$171:$II$171,Produtividade!$E$29:$II$29),0),
IFERROR(SUMPRODUCT(Veículos!$E$81:$II$81,Veículos!$E$4:$II$4),0)
)
/
Proposta!$J$62),2),"")</f>
        <v/>
      </c>
    </row>
    <row r="184" spans="2:10">
      <c r="B184" s="250">
        <v>179</v>
      </c>
      <c r="C184" s="250"/>
      <c r="D184" s="386"/>
      <c r="E184" s="250" t="str">
        <f>IFERROR(VLOOKUP($D184,'Apoio - Mat Coletivo e Equip'!$A:$D,2,FALSE),"")</f>
        <v/>
      </c>
      <c r="F184" s="449"/>
      <c r="G184" s="743" t="str">
        <f>IFERROR(VLOOKUP($D184,'Apoio - Mat Coletivo e Equip'!$A:$D,3,FALSE),"")</f>
        <v/>
      </c>
      <c r="H184" s="742" t="str">
        <f>IFERROR(IF(VLOOKUP($D184,'Apoio - Mat Coletivo e Equip'!$A:$D,4,FALSE)=0,"",VLOOKUP($D184,'Apoio - Mat Coletivo e Equip'!$A:$D,4,FALSE)),"")</f>
        <v/>
      </c>
      <c r="I184" s="774" t="str">
        <f>IFERROR(ROUND((IF(ISNUMBER(H184),H184*'Mão de Obra'!$D$12/12,1)*G184*F184)/'Mão de Obra'!$D$12,2),"")</f>
        <v/>
      </c>
      <c r="J184" s="774" t="str">
        <f>IFERROR(ROUND(I184*(1+
SUM(
IFERROR(SUMPRODUCT('Mão de Obra'!$E$169:$II$169,'Mão de Obra'!$E$29:$II$29),0),
IFERROR(SUMPRODUCT(Produtividade!$E$171:$II$171,Produtividade!$E$29:$II$29),0),
IFERROR(SUMPRODUCT(Veículos!$E$81:$II$81,Veículos!$E$4:$II$4),0)
)
/
Proposta!$J$62),2),"")</f>
        <v/>
      </c>
    </row>
    <row r="185" spans="2:10">
      <c r="B185" s="250">
        <v>180</v>
      </c>
      <c r="C185" s="250"/>
      <c r="D185" s="386"/>
      <c r="E185" s="250" t="str">
        <f>IFERROR(VLOOKUP($D185,'Apoio - Mat Coletivo e Equip'!$A:$D,2,FALSE),"")</f>
        <v/>
      </c>
      <c r="F185" s="449"/>
      <c r="G185" s="743" t="str">
        <f>IFERROR(VLOOKUP($D185,'Apoio - Mat Coletivo e Equip'!$A:$D,3,FALSE),"")</f>
        <v/>
      </c>
      <c r="H185" s="742" t="str">
        <f>IFERROR(IF(VLOOKUP($D185,'Apoio - Mat Coletivo e Equip'!$A:$D,4,FALSE)=0,"",VLOOKUP($D185,'Apoio - Mat Coletivo e Equip'!$A:$D,4,FALSE)),"")</f>
        <v/>
      </c>
      <c r="I185" s="774" t="str">
        <f>IFERROR(ROUND((IF(ISNUMBER(H185),H185*'Mão de Obra'!$D$12/12,1)*G185*F185)/'Mão de Obra'!$D$12,2),"")</f>
        <v/>
      </c>
      <c r="J185" s="774" t="str">
        <f>IFERROR(ROUND(I185*(1+
SUM(
IFERROR(SUMPRODUCT('Mão de Obra'!$E$169:$II$169,'Mão de Obra'!$E$29:$II$29),0),
IFERROR(SUMPRODUCT(Produtividade!$E$171:$II$171,Produtividade!$E$29:$II$29),0),
IFERROR(SUMPRODUCT(Veículos!$E$81:$II$81,Veículos!$E$4:$II$4),0)
)
/
Proposta!$J$62),2),"")</f>
        <v/>
      </c>
    </row>
    <row r="186" spans="2:10">
      <c r="B186" s="250">
        <v>181</v>
      </c>
      <c r="C186" s="250"/>
      <c r="D186" s="386"/>
      <c r="E186" s="250" t="str">
        <f>IFERROR(VLOOKUP($D186,'Apoio - Mat Coletivo e Equip'!$A:$D,2,FALSE),"")</f>
        <v/>
      </c>
      <c r="F186" s="449"/>
      <c r="G186" s="743" t="str">
        <f>IFERROR(VLOOKUP($D186,'Apoio - Mat Coletivo e Equip'!$A:$D,3,FALSE),"")</f>
        <v/>
      </c>
      <c r="H186" s="742" t="str">
        <f>IFERROR(IF(VLOOKUP($D186,'Apoio - Mat Coletivo e Equip'!$A:$D,4,FALSE)=0,"",VLOOKUP($D186,'Apoio - Mat Coletivo e Equip'!$A:$D,4,FALSE)),"")</f>
        <v/>
      </c>
      <c r="I186" s="774" t="str">
        <f>IFERROR(ROUND((IF(ISNUMBER(H186),H186*'Mão de Obra'!$D$12/12,1)*G186*F186)/'Mão de Obra'!$D$12,2),"")</f>
        <v/>
      </c>
      <c r="J186" s="774" t="str">
        <f>IFERROR(ROUND(I186*(1+
SUM(
IFERROR(SUMPRODUCT('Mão de Obra'!$E$169:$II$169,'Mão de Obra'!$E$29:$II$29),0),
IFERROR(SUMPRODUCT(Produtividade!$E$171:$II$171,Produtividade!$E$29:$II$29),0),
IFERROR(SUMPRODUCT(Veículos!$E$81:$II$81,Veículos!$E$4:$II$4),0)
)
/
Proposta!$J$62),2),"")</f>
        <v/>
      </c>
    </row>
    <row r="187" spans="2:10">
      <c r="B187" s="250">
        <v>182</v>
      </c>
      <c r="C187" s="250"/>
      <c r="D187" s="386"/>
      <c r="E187" s="250" t="str">
        <f>IFERROR(VLOOKUP($D187,'Apoio - Mat Coletivo e Equip'!$A:$D,2,FALSE),"")</f>
        <v/>
      </c>
      <c r="F187" s="449"/>
      <c r="G187" s="743" t="str">
        <f>IFERROR(VLOOKUP($D187,'Apoio - Mat Coletivo e Equip'!$A:$D,3,FALSE),"")</f>
        <v/>
      </c>
      <c r="H187" s="742" t="str">
        <f>IFERROR(IF(VLOOKUP($D187,'Apoio - Mat Coletivo e Equip'!$A:$D,4,FALSE)=0,"",VLOOKUP($D187,'Apoio - Mat Coletivo e Equip'!$A:$D,4,FALSE)),"")</f>
        <v/>
      </c>
      <c r="I187" s="774" t="str">
        <f>IFERROR(ROUND((IF(ISNUMBER(H187),H187*'Mão de Obra'!$D$12/12,1)*G187*F187)/'Mão de Obra'!$D$12,2),"")</f>
        <v/>
      </c>
      <c r="J187" s="774" t="str">
        <f>IFERROR(ROUND(I187*(1+
SUM(
IFERROR(SUMPRODUCT('Mão de Obra'!$E$169:$II$169,'Mão de Obra'!$E$29:$II$29),0),
IFERROR(SUMPRODUCT(Produtividade!$E$171:$II$171,Produtividade!$E$29:$II$29),0),
IFERROR(SUMPRODUCT(Veículos!$E$81:$II$81,Veículos!$E$4:$II$4),0)
)
/
Proposta!$J$62),2),"")</f>
        <v/>
      </c>
    </row>
    <row r="188" spans="2:10">
      <c r="B188" s="250">
        <v>183</v>
      </c>
      <c r="C188" s="250"/>
      <c r="D188" s="386"/>
      <c r="E188" s="250" t="str">
        <f>IFERROR(VLOOKUP($D188,'Apoio - Mat Coletivo e Equip'!$A:$D,2,FALSE),"")</f>
        <v/>
      </c>
      <c r="F188" s="449"/>
      <c r="G188" s="743" t="str">
        <f>IFERROR(VLOOKUP($D188,'Apoio - Mat Coletivo e Equip'!$A:$D,3,FALSE),"")</f>
        <v/>
      </c>
      <c r="H188" s="742" t="str">
        <f>IFERROR(IF(VLOOKUP($D188,'Apoio - Mat Coletivo e Equip'!$A:$D,4,FALSE)=0,"",VLOOKUP($D188,'Apoio - Mat Coletivo e Equip'!$A:$D,4,FALSE)),"")</f>
        <v/>
      </c>
      <c r="I188" s="774" t="str">
        <f>IFERROR(ROUND((IF(ISNUMBER(H188),H188*'Mão de Obra'!$D$12/12,1)*G188*F188)/'Mão de Obra'!$D$12,2),"")</f>
        <v/>
      </c>
      <c r="J188" s="774" t="str">
        <f>IFERROR(ROUND(I188*(1+
SUM(
IFERROR(SUMPRODUCT('Mão de Obra'!$E$169:$II$169,'Mão de Obra'!$E$29:$II$29),0),
IFERROR(SUMPRODUCT(Produtividade!$E$171:$II$171,Produtividade!$E$29:$II$29),0),
IFERROR(SUMPRODUCT(Veículos!$E$81:$II$81,Veículos!$E$4:$II$4),0)
)
/
Proposta!$J$62),2),"")</f>
        <v/>
      </c>
    </row>
    <row r="189" spans="2:10">
      <c r="B189" s="250">
        <v>184</v>
      </c>
      <c r="C189" s="250"/>
      <c r="D189" s="386"/>
      <c r="E189" s="250" t="str">
        <f>IFERROR(VLOOKUP($D189,'Apoio - Mat Coletivo e Equip'!$A:$D,2,FALSE),"")</f>
        <v/>
      </c>
      <c r="F189" s="449"/>
      <c r="G189" s="743" t="str">
        <f>IFERROR(VLOOKUP($D189,'Apoio - Mat Coletivo e Equip'!$A:$D,3,FALSE),"")</f>
        <v/>
      </c>
      <c r="H189" s="742" t="str">
        <f>IFERROR(IF(VLOOKUP($D189,'Apoio - Mat Coletivo e Equip'!$A:$D,4,FALSE)=0,"",VLOOKUP($D189,'Apoio - Mat Coletivo e Equip'!$A:$D,4,FALSE)),"")</f>
        <v/>
      </c>
      <c r="I189" s="774" t="str">
        <f>IFERROR(ROUND((IF(ISNUMBER(H189),H189*'Mão de Obra'!$D$12/12,1)*G189*F189)/'Mão de Obra'!$D$12,2),"")</f>
        <v/>
      </c>
      <c r="J189" s="774" t="str">
        <f>IFERROR(ROUND(I189*(1+
SUM(
IFERROR(SUMPRODUCT('Mão de Obra'!$E$169:$II$169,'Mão de Obra'!$E$29:$II$29),0),
IFERROR(SUMPRODUCT(Produtividade!$E$171:$II$171,Produtividade!$E$29:$II$29),0),
IFERROR(SUMPRODUCT(Veículos!$E$81:$II$81,Veículos!$E$4:$II$4),0)
)
/
Proposta!$J$62),2),"")</f>
        <v/>
      </c>
    </row>
    <row r="190" spans="2:10">
      <c r="B190" s="250">
        <v>185</v>
      </c>
      <c r="C190" s="250"/>
      <c r="D190" s="386"/>
      <c r="E190" s="250" t="str">
        <f>IFERROR(VLOOKUP($D190,'Apoio - Mat Coletivo e Equip'!$A:$D,2,FALSE),"")</f>
        <v/>
      </c>
      <c r="F190" s="449"/>
      <c r="G190" s="743" t="str">
        <f>IFERROR(VLOOKUP($D190,'Apoio - Mat Coletivo e Equip'!$A:$D,3,FALSE),"")</f>
        <v/>
      </c>
      <c r="H190" s="742" t="str">
        <f>IFERROR(IF(VLOOKUP($D190,'Apoio - Mat Coletivo e Equip'!$A:$D,4,FALSE)=0,"",VLOOKUP($D190,'Apoio - Mat Coletivo e Equip'!$A:$D,4,FALSE)),"")</f>
        <v/>
      </c>
      <c r="I190" s="774" t="str">
        <f>IFERROR(ROUND((IF(ISNUMBER(H190),H190*'Mão de Obra'!$D$12/12,1)*G190*F190)/'Mão de Obra'!$D$12,2),"")</f>
        <v/>
      </c>
      <c r="J190" s="774" t="str">
        <f>IFERROR(ROUND(I190*(1+
SUM(
IFERROR(SUMPRODUCT('Mão de Obra'!$E$169:$II$169,'Mão de Obra'!$E$29:$II$29),0),
IFERROR(SUMPRODUCT(Produtividade!$E$171:$II$171,Produtividade!$E$29:$II$29),0),
IFERROR(SUMPRODUCT(Veículos!$E$81:$II$81,Veículos!$E$4:$II$4),0)
)
/
Proposta!$J$62),2),"")</f>
        <v/>
      </c>
    </row>
    <row r="191" spans="2:10">
      <c r="B191" s="250">
        <v>186</v>
      </c>
      <c r="C191" s="250"/>
      <c r="D191" s="386"/>
      <c r="E191" s="250" t="str">
        <f>IFERROR(VLOOKUP($D191,'Apoio - Mat Coletivo e Equip'!$A:$D,2,FALSE),"")</f>
        <v/>
      </c>
      <c r="F191" s="449"/>
      <c r="G191" s="743" t="str">
        <f>IFERROR(VLOOKUP($D191,'Apoio - Mat Coletivo e Equip'!$A:$D,3,FALSE),"")</f>
        <v/>
      </c>
      <c r="H191" s="742" t="str">
        <f>IFERROR(IF(VLOOKUP($D191,'Apoio - Mat Coletivo e Equip'!$A:$D,4,FALSE)=0,"",VLOOKUP($D191,'Apoio - Mat Coletivo e Equip'!$A:$D,4,FALSE)),"")</f>
        <v/>
      </c>
      <c r="I191" s="774" t="str">
        <f>IFERROR(ROUND((IF(ISNUMBER(H191),H191*'Mão de Obra'!$D$12/12,1)*G191*F191)/'Mão de Obra'!$D$12,2),"")</f>
        <v/>
      </c>
      <c r="J191" s="774" t="str">
        <f>IFERROR(ROUND(I191*(1+
SUM(
IFERROR(SUMPRODUCT('Mão de Obra'!$E$169:$II$169,'Mão de Obra'!$E$29:$II$29),0),
IFERROR(SUMPRODUCT(Produtividade!$E$171:$II$171,Produtividade!$E$29:$II$29),0),
IFERROR(SUMPRODUCT(Veículos!$E$81:$II$81,Veículos!$E$4:$II$4),0)
)
/
Proposta!$J$62),2),"")</f>
        <v/>
      </c>
    </row>
    <row r="192" spans="2:10">
      <c r="B192" s="250">
        <v>187</v>
      </c>
      <c r="C192" s="250"/>
      <c r="D192" s="386"/>
      <c r="E192" s="250" t="str">
        <f>IFERROR(VLOOKUP($D192,'Apoio - Mat Coletivo e Equip'!$A:$D,2,FALSE),"")</f>
        <v/>
      </c>
      <c r="F192" s="449"/>
      <c r="G192" s="743" t="str">
        <f>IFERROR(VLOOKUP($D192,'Apoio - Mat Coletivo e Equip'!$A:$D,3,FALSE),"")</f>
        <v/>
      </c>
      <c r="H192" s="742" t="str">
        <f>IFERROR(IF(VLOOKUP($D192,'Apoio - Mat Coletivo e Equip'!$A:$D,4,FALSE)=0,"",VLOOKUP($D192,'Apoio - Mat Coletivo e Equip'!$A:$D,4,FALSE)),"")</f>
        <v/>
      </c>
      <c r="I192" s="774" t="str">
        <f>IFERROR(ROUND((IF(ISNUMBER(H192),H192*'Mão de Obra'!$D$12/12,1)*G192*F192)/'Mão de Obra'!$D$12,2),"")</f>
        <v/>
      </c>
      <c r="J192" s="774" t="str">
        <f>IFERROR(ROUND(I192*(1+
SUM(
IFERROR(SUMPRODUCT('Mão de Obra'!$E$169:$II$169,'Mão de Obra'!$E$29:$II$29),0),
IFERROR(SUMPRODUCT(Produtividade!$E$171:$II$171,Produtividade!$E$29:$II$29),0),
IFERROR(SUMPRODUCT(Veículos!$E$81:$II$81,Veículos!$E$4:$II$4),0)
)
/
Proposta!$J$62),2),"")</f>
        <v/>
      </c>
    </row>
    <row r="193" spans="2:10">
      <c r="B193" s="250">
        <v>188</v>
      </c>
      <c r="C193" s="250"/>
      <c r="D193" s="386"/>
      <c r="E193" s="250" t="str">
        <f>IFERROR(VLOOKUP($D193,'Apoio - Mat Coletivo e Equip'!$A:$D,2,FALSE),"")</f>
        <v/>
      </c>
      <c r="F193" s="449"/>
      <c r="G193" s="743" t="str">
        <f>IFERROR(VLOOKUP($D193,'Apoio - Mat Coletivo e Equip'!$A:$D,3,FALSE),"")</f>
        <v/>
      </c>
      <c r="H193" s="742" t="str">
        <f>IFERROR(IF(VLOOKUP($D193,'Apoio - Mat Coletivo e Equip'!$A:$D,4,FALSE)=0,"",VLOOKUP($D193,'Apoio - Mat Coletivo e Equip'!$A:$D,4,FALSE)),"")</f>
        <v/>
      </c>
      <c r="I193" s="774" t="str">
        <f>IFERROR(ROUND((IF(ISNUMBER(H193),H193*'Mão de Obra'!$D$12/12,1)*G193*F193)/'Mão de Obra'!$D$12,2),"")</f>
        <v/>
      </c>
      <c r="J193" s="774" t="str">
        <f>IFERROR(ROUND(I193*(1+
SUM(
IFERROR(SUMPRODUCT('Mão de Obra'!$E$169:$II$169,'Mão de Obra'!$E$29:$II$29),0),
IFERROR(SUMPRODUCT(Produtividade!$E$171:$II$171,Produtividade!$E$29:$II$29),0),
IFERROR(SUMPRODUCT(Veículos!$E$81:$II$81,Veículos!$E$4:$II$4),0)
)
/
Proposta!$J$62),2),"")</f>
        <v/>
      </c>
    </row>
    <row r="194" spans="2:10">
      <c r="B194" s="250">
        <v>189</v>
      </c>
      <c r="C194" s="250"/>
      <c r="D194" s="386"/>
      <c r="E194" s="250" t="str">
        <f>IFERROR(VLOOKUP($D194,'Apoio - Mat Coletivo e Equip'!$A:$D,2,FALSE),"")</f>
        <v/>
      </c>
      <c r="F194" s="449"/>
      <c r="G194" s="743" t="str">
        <f>IFERROR(VLOOKUP($D194,'Apoio - Mat Coletivo e Equip'!$A:$D,3,FALSE),"")</f>
        <v/>
      </c>
      <c r="H194" s="742" t="str">
        <f>IFERROR(IF(VLOOKUP($D194,'Apoio - Mat Coletivo e Equip'!$A:$D,4,FALSE)=0,"",VLOOKUP($D194,'Apoio - Mat Coletivo e Equip'!$A:$D,4,FALSE)),"")</f>
        <v/>
      </c>
      <c r="I194" s="774" t="str">
        <f>IFERROR(ROUND((IF(ISNUMBER(H194),H194*'Mão de Obra'!$D$12/12,1)*G194*F194)/'Mão de Obra'!$D$12,2),"")</f>
        <v/>
      </c>
      <c r="J194" s="774" t="str">
        <f>IFERROR(ROUND(I194*(1+
SUM(
IFERROR(SUMPRODUCT('Mão de Obra'!$E$169:$II$169,'Mão de Obra'!$E$29:$II$29),0),
IFERROR(SUMPRODUCT(Produtividade!$E$171:$II$171,Produtividade!$E$29:$II$29),0),
IFERROR(SUMPRODUCT(Veículos!$E$81:$II$81,Veículos!$E$4:$II$4),0)
)
/
Proposta!$J$62),2),"")</f>
        <v/>
      </c>
    </row>
    <row r="195" spans="2:10">
      <c r="B195" s="250">
        <v>190</v>
      </c>
      <c r="C195" s="250"/>
      <c r="D195" s="386"/>
      <c r="E195" s="250" t="str">
        <f>IFERROR(VLOOKUP($D195,'Apoio - Mat Coletivo e Equip'!$A:$D,2,FALSE),"")</f>
        <v/>
      </c>
      <c r="F195" s="449"/>
      <c r="G195" s="743" t="str">
        <f>IFERROR(VLOOKUP($D195,'Apoio - Mat Coletivo e Equip'!$A:$D,3,FALSE),"")</f>
        <v/>
      </c>
      <c r="H195" s="742" t="str">
        <f>IFERROR(IF(VLOOKUP($D195,'Apoio - Mat Coletivo e Equip'!$A:$D,4,FALSE)=0,"",VLOOKUP($D195,'Apoio - Mat Coletivo e Equip'!$A:$D,4,FALSE)),"")</f>
        <v/>
      </c>
      <c r="I195" s="774" t="str">
        <f>IFERROR(ROUND((IF(ISNUMBER(H195),H195*'Mão de Obra'!$D$12/12,1)*G195*F195)/'Mão de Obra'!$D$12,2),"")</f>
        <v/>
      </c>
      <c r="J195" s="774" t="str">
        <f>IFERROR(ROUND(I195*(1+
SUM(
IFERROR(SUMPRODUCT('Mão de Obra'!$E$169:$II$169,'Mão de Obra'!$E$29:$II$29),0),
IFERROR(SUMPRODUCT(Produtividade!$E$171:$II$171,Produtividade!$E$29:$II$29),0),
IFERROR(SUMPRODUCT(Veículos!$E$81:$II$81,Veículos!$E$4:$II$4),0)
)
/
Proposta!$J$62),2),"")</f>
        <v/>
      </c>
    </row>
    <row r="196" spans="2:10">
      <c r="B196" s="250">
        <v>191</v>
      </c>
      <c r="C196" s="250"/>
      <c r="D196" s="386"/>
      <c r="E196" s="250" t="str">
        <f>IFERROR(VLOOKUP($D196,'Apoio - Mat Coletivo e Equip'!$A:$D,2,FALSE),"")</f>
        <v/>
      </c>
      <c r="F196" s="449"/>
      <c r="G196" s="743" t="str">
        <f>IFERROR(VLOOKUP($D196,'Apoio - Mat Coletivo e Equip'!$A:$D,3,FALSE),"")</f>
        <v/>
      </c>
      <c r="H196" s="742" t="str">
        <f>IFERROR(IF(VLOOKUP($D196,'Apoio - Mat Coletivo e Equip'!$A:$D,4,FALSE)=0,"",VLOOKUP($D196,'Apoio - Mat Coletivo e Equip'!$A:$D,4,FALSE)),"")</f>
        <v/>
      </c>
      <c r="I196" s="774" t="str">
        <f>IFERROR(ROUND((IF(ISNUMBER(H196),H196*'Mão de Obra'!$D$12/12,1)*G196*F196)/'Mão de Obra'!$D$12,2),"")</f>
        <v/>
      </c>
      <c r="J196" s="774" t="str">
        <f>IFERROR(ROUND(I196*(1+
SUM(
IFERROR(SUMPRODUCT('Mão de Obra'!$E$169:$II$169,'Mão de Obra'!$E$29:$II$29),0),
IFERROR(SUMPRODUCT(Produtividade!$E$171:$II$171,Produtividade!$E$29:$II$29),0),
IFERROR(SUMPRODUCT(Veículos!$E$81:$II$81,Veículos!$E$4:$II$4),0)
)
/
Proposta!$J$62),2),"")</f>
        <v/>
      </c>
    </row>
    <row r="197" spans="2:10">
      <c r="B197" s="250">
        <v>192</v>
      </c>
      <c r="C197" s="250"/>
      <c r="D197" s="386"/>
      <c r="E197" s="250" t="str">
        <f>IFERROR(VLOOKUP($D197,'Apoio - Mat Coletivo e Equip'!$A:$D,2,FALSE),"")</f>
        <v/>
      </c>
      <c r="F197" s="449"/>
      <c r="G197" s="743" t="str">
        <f>IFERROR(VLOOKUP($D197,'Apoio - Mat Coletivo e Equip'!$A:$D,3,FALSE),"")</f>
        <v/>
      </c>
      <c r="H197" s="742" t="str">
        <f>IFERROR(IF(VLOOKUP($D197,'Apoio - Mat Coletivo e Equip'!$A:$D,4,FALSE)=0,"",VLOOKUP($D197,'Apoio - Mat Coletivo e Equip'!$A:$D,4,FALSE)),"")</f>
        <v/>
      </c>
      <c r="I197" s="774" t="str">
        <f>IFERROR(ROUND((IF(ISNUMBER(H197),H197*'Mão de Obra'!$D$12/12,1)*G197*F197)/'Mão de Obra'!$D$12,2),"")</f>
        <v/>
      </c>
      <c r="J197" s="774" t="str">
        <f>IFERROR(ROUND(I197*(1+
SUM(
IFERROR(SUMPRODUCT('Mão de Obra'!$E$169:$II$169,'Mão de Obra'!$E$29:$II$29),0),
IFERROR(SUMPRODUCT(Produtividade!$E$171:$II$171,Produtividade!$E$29:$II$29),0),
IFERROR(SUMPRODUCT(Veículos!$E$81:$II$81,Veículos!$E$4:$II$4),0)
)
/
Proposta!$J$62),2),"")</f>
        <v/>
      </c>
    </row>
    <row r="198" spans="2:10">
      <c r="B198" s="250">
        <v>193</v>
      </c>
      <c r="C198" s="250"/>
      <c r="D198" s="386"/>
      <c r="E198" s="250" t="str">
        <f>IFERROR(VLOOKUP($D198,'Apoio - Mat Coletivo e Equip'!$A:$D,2,FALSE),"")</f>
        <v/>
      </c>
      <c r="F198" s="449"/>
      <c r="G198" s="743" t="str">
        <f>IFERROR(VLOOKUP($D198,'Apoio - Mat Coletivo e Equip'!$A:$D,3,FALSE),"")</f>
        <v/>
      </c>
      <c r="H198" s="742" t="str">
        <f>IFERROR(IF(VLOOKUP($D198,'Apoio - Mat Coletivo e Equip'!$A:$D,4,FALSE)=0,"",VLOOKUP($D198,'Apoio - Mat Coletivo e Equip'!$A:$D,4,FALSE)),"")</f>
        <v/>
      </c>
      <c r="I198" s="774" t="str">
        <f>IFERROR(ROUND((IF(ISNUMBER(H198),H198*'Mão de Obra'!$D$12/12,1)*G198*F198)/'Mão de Obra'!$D$12,2),"")</f>
        <v/>
      </c>
      <c r="J198" s="774" t="str">
        <f>IFERROR(ROUND(I198*(1+
SUM(
IFERROR(SUMPRODUCT('Mão de Obra'!$E$169:$II$169,'Mão de Obra'!$E$29:$II$29),0),
IFERROR(SUMPRODUCT(Produtividade!$E$171:$II$171,Produtividade!$E$29:$II$29),0),
IFERROR(SUMPRODUCT(Veículos!$E$81:$II$81,Veículos!$E$4:$II$4),0)
)
/
Proposta!$J$62),2),"")</f>
        <v/>
      </c>
    </row>
    <row r="199" spans="2:10">
      <c r="B199" s="250">
        <v>194</v>
      </c>
      <c r="C199" s="250"/>
      <c r="D199" s="386"/>
      <c r="E199" s="250" t="str">
        <f>IFERROR(VLOOKUP($D199,'Apoio - Mat Coletivo e Equip'!$A:$D,2,FALSE),"")</f>
        <v/>
      </c>
      <c r="F199" s="449"/>
      <c r="G199" s="743" t="str">
        <f>IFERROR(VLOOKUP($D199,'Apoio - Mat Coletivo e Equip'!$A:$D,3,FALSE),"")</f>
        <v/>
      </c>
      <c r="H199" s="742" t="str">
        <f>IFERROR(IF(VLOOKUP($D199,'Apoio - Mat Coletivo e Equip'!$A:$D,4,FALSE)=0,"",VLOOKUP($D199,'Apoio - Mat Coletivo e Equip'!$A:$D,4,FALSE)),"")</f>
        <v/>
      </c>
      <c r="I199" s="774" t="str">
        <f>IFERROR(ROUND((IF(ISNUMBER(H199),H199*'Mão de Obra'!$D$12/12,1)*G199*F199)/'Mão de Obra'!$D$12,2),"")</f>
        <v/>
      </c>
      <c r="J199" s="774" t="str">
        <f>IFERROR(ROUND(I199*(1+
SUM(
IFERROR(SUMPRODUCT('Mão de Obra'!$E$169:$II$169,'Mão de Obra'!$E$29:$II$29),0),
IFERROR(SUMPRODUCT(Produtividade!$E$171:$II$171,Produtividade!$E$29:$II$29),0),
IFERROR(SUMPRODUCT(Veículos!$E$81:$II$81,Veículos!$E$4:$II$4),0)
)
/
Proposta!$J$62),2),"")</f>
        <v/>
      </c>
    </row>
    <row r="200" spans="2:10">
      <c r="B200" s="250">
        <v>195</v>
      </c>
      <c r="C200" s="250"/>
      <c r="D200" s="386"/>
      <c r="E200" s="250" t="str">
        <f>IFERROR(VLOOKUP($D200,'Apoio - Mat Coletivo e Equip'!$A:$D,2,FALSE),"")</f>
        <v/>
      </c>
      <c r="F200" s="449"/>
      <c r="G200" s="743" t="str">
        <f>IFERROR(VLOOKUP($D200,'Apoio - Mat Coletivo e Equip'!$A:$D,3,FALSE),"")</f>
        <v/>
      </c>
      <c r="H200" s="742" t="str">
        <f>IFERROR(IF(VLOOKUP($D200,'Apoio - Mat Coletivo e Equip'!$A:$D,4,FALSE)=0,"",VLOOKUP($D200,'Apoio - Mat Coletivo e Equip'!$A:$D,4,FALSE)),"")</f>
        <v/>
      </c>
      <c r="I200" s="774" t="str">
        <f>IFERROR(ROUND((IF(ISNUMBER(H200),H200*'Mão de Obra'!$D$12/12,1)*G200*F200)/'Mão de Obra'!$D$12,2),"")</f>
        <v/>
      </c>
      <c r="J200" s="774" t="str">
        <f>IFERROR(ROUND(I200*(1+
SUM(
IFERROR(SUMPRODUCT('Mão de Obra'!$E$169:$II$169,'Mão de Obra'!$E$29:$II$29),0),
IFERROR(SUMPRODUCT(Produtividade!$E$171:$II$171,Produtividade!$E$29:$II$29),0),
IFERROR(SUMPRODUCT(Veículos!$E$81:$II$81,Veículos!$E$4:$II$4),0)
)
/
Proposta!$J$62),2),"")</f>
        <v/>
      </c>
    </row>
    <row r="201" spans="2:10">
      <c r="B201" s="250">
        <v>196</v>
      </c>
      <c r="C201" s="250"/>
      <c r="D201" s="386"/>
      <c r="E201" s="250" t="str">
        <f>IFERROR(VLOOKUP($D201,'Apoio - Mat Coletivo e Equip'!$A:$D,2,FALSE),"")</f>
        <v/>
      </c>
      <c r="F201" s="449"/>
      <c r="G201" s="743" t="str">
        <f>IFERROR(VLOOKUP($D201,'Apoio - Mat Coletivo e Equip'!$A:$D,3,FALSE),"")</f>
        <v/>
      </c>
      <c r="H201" s="742" t="str">
        <f>IFERROR(IF(VLOOKUP($D201,'Apoio - Mat Coletivo e Equip'!$A:$D,4,FALSE)=0,"",VLOOKUP($D201,'Apoio - Mat Coletivo e Equip'!$A:$D,4,FALSE)),"")</f>
        <v/>
      </c>
      <c r="I201" s="774" t="str">
        <f>IFERROR(ROUND((IF(ISNUMBER(H201),H201*'Mão de Obra'!$D$12/12,1)*G201*F201)/'Mão de Obra'!$D$12,2),"")</f>
        <v/>
      </c>
      <c r="J201" s="774" t="str">
        <f>IFERROR(ROUND(I201*(1+
SUM(
IFERROR(SUMPRODUCT('Mão de Obra'!$E$169:$II$169,'Mão de Obra'!$E$29:$II$29),0),
IFERROR(SUMPRODUCT(Produtividade!$E$171:$II$171,Produtividade!$E$29:$II$29),0),
IFERROR(SUMPRODUCT(Veículos!$E$81:$II$81,Veículos!$E$4:$II$4),0)
)
/
Proposta!$J$62),2),"")</f>
        <v/>
      </c>
    </row>
    <row r="202" spans="2:10">
      <c r="B202" s="250">
        <v>197</v>
      </c>
      <c r="C202" s="250"/>
      <c r="D202" s="386"/>
      <c r="E202" s="250" t="str">
        <f>IFERROR(VLOOKUP($D202,'Apoio - Mat Coletivo e Equip'!$A:$D,2,FALSE),"")</f>
        <v/>
      </c>
      <c r="F202" s="449"/>
      <c r="G202" s="743" t="str">
        <f>IFERROR(VLOOKUP($D202,'Apoio - Mat Coletivo e Equip'!$A:$D,3,FALSE),"")</f>
        <v/>
      </c>
      <c r="H202" s="742" t="str">
        <f>IFERROR(IF(VLOOKUP($D202,'Apoio - Mat Coletivo e Equip'!$A:$D,4,FALSE)=0,"",VLOOKUP($D202,'Apoio - Mat Coletivo e Equip'!$A:$D,4,FALSE)),"")</f>
        <v/>
      </c>
      <c r="I202" s="774" t="str">
        <f>IFERROR(ROUND((IF(ISNUMBER(H202),H202*'Mão de Obra'!$D$12/12,1)*G202*F202)/'Mão de Obra'!$D$12,2),"")</f>
        <v/>
      </c>
      <c r="J202" s="774" t="str">
        <f>IFERROR(ROUND(I202*(1+
SUM(
IFERROR(SUMPRODUCT('Mão de Obra'!$E$169:$II$169,'Mão de Obra'!$E$29:$II$29),0),
IFERROR(SUMPRODUCT(Produtividade!$E$171:$II$171,Produtividade!$E$29:$II$29),0),
IFERROR(SUMPRODUCT(Veículos!$E$81:$II$81,Veículos!$E$4:$II$4),0)
)
/
Proposta!$J$62),2),"")</f>
        <v/>
      </c>
    </row>
    <row r="203" spans="2:10">
      <c r="B203" s="250">
        <v>198</v>
      </c>
      <c r="C203" s="250"/>
      <c r="D203" s="386"/>
      <c r="E203" s="250" t="str">
        <f>IFERROR(VLOOKUP($D203,'Apoio - Mat Coletivo e Equip'!$A:$D,2,FALSE),"")</f>
        <v/>
      </c>
      <c r="F203" s="449"/>
      <c r="G203" s="743" t="str">
        <f>IFERROR(VLOOKUP($D203,'Apoio - Mat Coletivo e Equip'!$A:$D,3,FALSE),"")</f>
        <v/>
      </c>
      <c r="H203" s="742" t="str">
        <f>IFERROR(IF(VLOOKUP($D203,'Apoio - Mat Coletivo e Equip'!$A:$D,4,FALSE)=0,"",VLOOKUP($D203,'Apoio - Mat Coletivo e Equip'!$A:$D,4,FALSE)),"")</f>
        <v/>
      </c>
      <c r="I203" s="774" t="str">
        <f>IFERROR(ROUND((IF(ISNUMBER(H203),H203*'Mão de Obra'!$D$12/12,1)*G203*F203)/'Mão de Obra'!$D$12,2),"")</f>
        <v/>
      </c>
      <c r="J203" s="774" t="str">
        <f>IFERROR(ROUND(I203*(1+
SUM(
IFERROR(SUMPRODUCT('Mão de Obra'!$E$169:$II$169,'Mão de Obra'!$E$29:$II$29),0),
IFERROR(SUMPRODUCT(Produtividade!$E$171:$II$171,Produtividade!$E$29:$II$29),0),
IFERROR(SUMPRODUCT(Veículos!$E$81:$II$81,Veículos!$E$4:$II$4),0)
)
/
Proposta!$J$62),2),"")</f>
        <v/>
      </c>
    </row>
    <row r="204" spans="2:10">
      <c r="B204" s="250">
        <v>199</v>
      </c>
      <c r="C204" s="250"/>
      <c r="D204" s="386"/>
      <c r="E204" s="250" t="str">
        <f>IFERROR(VLOOKUP($D204,'Apoio - Mat Coletivo e Equip'!$A:$D,2,FALSE),"")</f>
        <v/>
      </c>
      <c r="F204" s="449"/>
      <c r="G204" s="743" t="str">
        <f>IFERROR(VLOOKUP($D204,'Apoio - Mat Coletivo e Equip'!$A:$D,3,FALSE),"")</f>
        <v/>
      </c>
      <c r="H204" s="742" t="str">
        <f>IFERROR(IF(VLOOKUP($D204,'Apoio - Mat Coletivo e Equip'!$A:$D,4,FALSE)=0,"",VLOOKUP($D204,'Apoio - Mat Coletivo e Equip'!$A:$D,4,FALSE)),"")</f>
        <v/>
      </c>
      <c r="I204" s="774" t="str">
        <f>IFERROR(ROUND((IF(ISNUMBER(H204),H204*'Mão de Obra'!$D$12/12,1)*G204*F204)/'Mão de Obra'!$D$12,2),"")</f>
        <v/>
      </c>
      <c r="J204" s="774" t="str">
        <f>IFERROR(ROUND(I204*(1+
SUM(
IFERROR(SUMPRODUCT('Mão de Obra'!$E$169:$II$169,'Mão de Obra'!$E$29:$II$29),0),
IFERROR(SUMPRODUCT(Produtividade!$E$171:$II$171,Produtividade!$E$29:$II$29),0),
IFERROR(SUMPRODUCT(Veículos!$E$81:$II$81,Veículos!$E$4:$II$4),0)
)
/
Proposta!$J$62),2),"")</f>
        <v/>
      </c>
    </row>
    <row r="205" spans="2:10">
      <c r="B205" s="250">
        <v>200</v>
      </c>
      <c r="C205" s="250"/>
      <c r="D205" s="386"/>
      <c r="E205" s="250" t="str">
        <f>IFERROR(VLOOKUP($D205,'Apoio - Mat Coletivo e Equip'!$A:$D,2,FALSE),"")</f>
        <v/>
      </c>
      <c r="F205" s="449"/>
      <c r="G205" s="743" t="str">
        <f>IFERROR(VLOOKUP($D205,'Apoio - Mat Coletivo e Equip'!$A:$D,3,FALSE),"")</f>
        <v/>
      </c>
      <c r="H205" s="742" t="str">
        <f>IFERROR(IF(VLOOKUP($D205,'Apoio - Mat Coletivo e Equip'!$A:$D,4,FALSE)=0,"",VLOOKUP($D205,'Apoio - Mat Coletivo e Equip'!$A:$D,4,FALSE)),"")</f>
        <v/>
      </c>
      <c r="I205" s="774" t="str">
        <f>IFERROR(ROUND((IF(ISNUMBER(H205),H205*'Mão de Obra'!$D$12/12,1)*G205*F205)/'Mão de Obra'!$D$12,2),"")</f>
        <v/>
      </c>
      <c r="J205" s="774" t="str">
        <f>IFERROR(ROUND(I205*(1+
SUM(
IFERROR(SUMPRODUCT('Mão de Obra'!$E$169:$II$169,'Mão de Obra'!$E$29:$II$29),0),
IFERROR(SUMPRODUCT(Produtividade!$E$171:$II$171,Produtividade!$E$29:$II$29),0),
IFERROR(SUMPRODUCT(Veículos!$E$81:$II$81,Veículos!$E$4:$II$4),0)
)
/
Proposta!$J$62),2),"")</f>
        <v/>
      </c>
    </row>
    <row r="206" spans="2:10">
      <c r="G206" s="744"/>
    </row>
    <row r="207" spans="2:10">
      <c r="G207" s="744"/>
    </row>
    <row r="208" spans="2:10">
      <c r="G208" s="744"/>
    </row>
    <row r="209" spans="7:7">
      <c r="G209" s="744"/>
    </row>
    <row r="210" spans="7:7">
      <c r="G210" s="744"/>
    </row>
    <row r="211" spans="7:7">
      <c r="G211" s="744"/>
    </row>
    <row r="212" spans="7:7">
      <c r="G212" s="744"/>
    </row>
    <row r="213" spans="7:7">
      <c r="G213" s="744"/>
    </row>
    <row r="214" spans="7:7">
      <c r="G214" s="744"/>
    </row>
    <row r="215" spans="7:7">
      <c r="G215" s="744"/>
    </row>
    <row r="216" spans="7:7">
      <c r="G216" s="744"/>
    </row>
    <row r="217" spans="7:7">
      <c r="G217" s="744"/>
    </row>
    <row r="218" spans="7:7">
      <c r="G218" s="744"/>
    </row>
    <row r="219" spans="7:7">
      <c r="G219" s="744"/>
    </row>
    <row r="220" spans="7:7">
      <c r="G220" s="744"/>
    </row>
    <row r="221" spans="7:7">
      <c r="G221" s="744"/>
    </row>
  </sheetData>
  <sheetProtection algorithmName="SHA-512" hashValue="HGd82PS0WBiaqoGA6hwRzjFqV6A826WlYaV7qJTlcuHznnWzXRSyHreDyRvbQAVaejxgB8ZaMOqHIrvQiH33cQ==" saltValue="35N8fr9XWTCs37jiOc3AKQ==" spinCount="100000" sheet="1" objects="1" scenarios="1" formatCells="0" formatColumns="0" formatRows="0" insertColumns="0" insertRows="0" deleteRows="0"/>
  <mergeCells count="1">
    <mergeCell ref="B2:J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14:formula1>
            <xm:f>'Apoio - Mat Coletivo e Equip'!$A:$A</xm:f>
          </x14:formula1>
          <xm:sqref>D6:D205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
  <dimension ref="A1:G22"/>
  <sheetViews>
    <sheetView workbookViewId="0">
      <selection activeCell="G13" sqref="G13"/>
    </sheetView>
  </sheetViews>
  <sheetFormatPr defaultRowHeight="15"/>
  <cols>
    <col min="1" max="1" width="57.140625" customWidth="1"/>
    <col min="2" max="2" width="10.7109375" customWidth="1"/>
    <col min="3" max="3" width="16.7109375" customWidth="1"/>
    <col min="4" max="4" width="26.28515625" customWidth="1"/>
    <col min="7" max="7" width="61.5703125" customWidth="1"/>
  </cols>
  <sheetData>
    <row r="1" spans="1:7" ht="31.5" customHeight="1" thickBot="1">
      <c r="A1" s="730" t="s">
        <v>659</v>
      </c>
      <c r="B1" s="731" t="s">
        <v>492</v>
      </c>
      <c r="C1" s="732" t="s">
        <v>660</v>
      </c>
      <c r="D1" s="733" t="s">
        <v>485</v>
      </c>
    </row>
    <row r="2" spans="1:7" ht="31.5" customHeight="1" thickBot="1">
      <c r="A2" s="739"/>
      <c r="B2" s="739"/>
      <c r="C2" s="740"/>
      <c r="D2" s="741"/>
      <c r="G2" s="746" t="s">
        <v>722</v>
      </c>
    </row>
    <row r="3" spans="1:7">
      <c r="A3" s="723" t="s">
        <v>685</v>
      </c>
      <c r="B3" s="723" t="s">
        <v>684</v>
      </c>
      <c r="C3" s="725">
        <v>427.97</v>
      </c>
      <c r="D3" s="737"/>
      <c r="G3" s="745" t="s">
        <v>719</v>
      </c>
    </row>
    <row r="4" spans="1:7">
      <c r="A4" s="724" t="s">
        <v>686</v>
      </c>
      <c r="B4" s="724" t="s">
        <v>687</v>
      </c>
      <c r="C4" s="726">
        <v>101.78</v>
      </c>
      <c r="D4" s="738">
        <v>0.1</v>
      </c>
    </row>
    <row r="5" spans="1:7">
      <c r="A5" s="724" t="s">
        <v>717</v>
      </c>
      <c r="B5" s="724" t="s">
        <v>684</v>
      </c>
      <c r="C5" s="726">
        <v>213.08</v>
      </c>
      <c r="D5" s="738"/>
    </row>
    <row r="6" spans="1:7">
      <c r="A6" s="724" t="s">
        <v>672</v>
      </c>
      <c r="B6" s="724" t="s">
        <v>695</v>
      </c>
      <c r="C6" s="726">
        <v>1439.06</v>
      </c>
      <c r="D6" s="738">
        <v>0.2</v>
      </c>
    </row>
    <row r="7" spans="1:7">
      <c r="A7" s="724" t="s">
        <v>718</v>
      </c>
      <c r="B7" s="724" t="s">
        <v>684</v>
      </c>
      <c r="C7" s="726">
        <v>57.95</v>
      </c>
      <c r="D7" s="738"/>
    </row>
    <row r="8" spans="1:7">
      <c r="A8" s="724" t="s">
        <v>689</v>
      </c>
      <c r="B8" s="724" t="s">
        <v>684</v>
      </c>
      <c r="C8" s="726">
        <v>76.92</v>
      </c>
      <c r="D8" s="738"/>
    </row>
    <row r="9" spans="1:7">
      <c r="A9" s="724" t="s">
        <v>715</v>
      </c>
      <c r="B9" s="724" t="s">
        <v>684</v>
      </c>
      <c r="C9" s="726">
        <v>20.239999999999998</v>
      </c>
      <c r="D9" s="738"/>
    </row>
    <row r="10" spans="1:7">
      <c r="A10" s="724" t="s">
        <v>716</v>
      </c>
      <c r="B10" s="724" t="s">
        <v>684</v>
      </c>
      <c r="C10" s="726">
        <v>5.54</v>
      </c>
      <c r="D10" s="738"/>
    </row>
    <row r="11" spans="1:7">
      <c r="A11" s="724" t="s">
        <v>690</v>
      </c>
      <c r="B11" s="724" t="s">
        <v>684</v>
      </c>
      <c r="C11" s="726">
        <v>44.77</v>
      </c>
      <c r="D11" s="738"/>
    </row>
    <row r="12" spans="1:7">
      <c r="A12" s="724" t="s">
        <v>691</v>
      </c>
      <c r="B12" s="724" t="s">
        <v>714</v>
      </c>
      <c r="C12" s="726">
        <v>67.63</v>
      </c>
      <c r="D12" s="738"/>
    </row>
    <row r="13" spans="1:7">
      <c r="A13" s="724" t="s">
        <v>692</v>
      </c>
      <c r="B13" s="724" t="s">
        <v>684</v>
      </c>
      <c r="C13" s="726">
        <v>976.94</v>
      </c>
      <c r="D13" s="738">
        <v>0.2</v>
      </c>
    </row>
    <row r="14" spans="1:7">
      <c r="A14" s="724" t="s">
        <v>721</v>
      </c>
      <c r="B14" s="724" t="s">
        <v>684</v>
      </c>
      <c r="C14" s="726">
        <v>5574.12</v>
      </c>
      <c r="D14" s="738">
        <v>0.2</v>
      </c>
    </row>
    <row r="15" spans="1:7">
      <c r="A15" s="724"/>
      <c r="B15" s="724"/>
      <c r="C15" s="726"/>
      <c r="D15" s="738"/>
    </row>
    <row r="16" spans="1:7">
      <c r="A16" s="724"/>
      <c r="B16" s="724"/>
      <c r="C16" s="726"/>
      <c r="D16" s="738"/>
    </row>
    <row r="17" spans="1:4">
      <c r="A17" s="724"/>
      <c r="B17" s="724"/>
      <c r="C17" s="726"/>
      <c r="D17" s="738"/>
    </row>
    <row r="18" spans="1:4">
      <c r="A18" s="724"/>
      <c r="B18" s="724"/>
      <c r="C18" s="726"/>
      <c r="D18" s="738"/>
    </row>
    <row r="19" spans="1:4">
      <c r="A19" s="724"/>
      <c r="B19" s="724"/>
      <c r="C19" s="726"/>
      <c r="D19" s="738"/>
    </row>
    <row r="20" spans="1:4">
      <c r="A20" s="724"/>
      <c r="B20" s="724"/>
      <c r="C20" s="726"/>
      <c r="D20" s="738"/>
    </row>
    <row r="21" spans="1:4">
      <c r="A21" s="747"/>
      <c r="B21" s="446"/>
      <c r="C21" s="748"/>
      <c r="D21" s="749"/>
    </row>
    <row r="22" spans="1:4">
      <c r="A22" s="721"/>
      <c r="B22" s="721"/>
      <c r="C22" s="727"/>
      <c r="D22" s="722"/>
    </row>
  </sheetData>
  <sheetProtection algorithmName="SHA-512" hashValue="XcZ00Y3DUMixekqGk5cPX8QUO9DDTTZKW8iWb3KBsu8Cd0eYNNcIT98ylJ96MZNib4ubE4+022adVB7dedCGVw==" saltValue="1OzEnvdSdCRGbYsNmCUugg==" spinCount="100000" sheet="1" objects="1" scenarios="1"/>
  <pageMargins left="0.511811024" right="0.511811024" top="0.78740157499999996" bottom="0.78740157499999996" header="0.31496062000000002" footer="0.31496062000000002"/>
  <tableParts count="1">
    <tablePart r:id="rId1"/>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10"/>
  <dimension ref="A1:AA100"/>
  <sheetViews>
    <sheetView showGridLines="0" zoomScale="90" zoomScaleNormal="90" workbookViewId="0">
      <selection activeCell="E49" sqref="E49"/>
    </sheetView>
  </sheetViews>
  <sheetFormatPr defaultRowHeight="15"/>
  <cols>
    <col min="1" max="1" width="1.85546875" customWidth="1"/>
    <col min="2" max="2" width="4.85546875" style="299" customWidth="1"/>
    <col min="3" max="3" width="49" style="35" customWidth="1"/>
    <col min="4" max="4" width="21.28515625" style="35" customWidth="1"/>
    <col min="5" max="6" width="19.7109375" style="36" customWidth="1"/>
    <col min="7" max="9" width="19.7109375" customWidth="1"/>
    <col min="11" max="11" width="12.140625" bestFit="1" customWidth="1"/>
  </cols>
  <sheetData>
    <row r="1" spans="1:27" ht="9.75" customHeight="1">
      <c r="B1" s="336"/>
      <c r="C1" s="45"/>
      <c r="D1" s="45"/>
      <c r="E1" s="46"/>
      <c r="F1" s="46"/>
    </row>
    <row r="2" spans="1:27" s="12" customFormat="1">
      <c r="A2" s="72"/>
      <c r="B2" s="89"/>
      <c r="C2" s="90" t="s">
        <v>180</v>
      </c>
      <c r="D2" s="91"/>
      <c r="E2" s="155" t="s">
        <v>347</v>
      </c>
      <c r="F2" s="155" t="s">
        <v>348</v>
      </c>
      <c r="G2" s="155" t="s">
        <v>349</v>
      </c>
      <c r="H2" s="155" t="s">
        <v>350</v>
      </c>
      <c r="I2" s="155" t="s">
        <v>351</v>
      </c>
      <c r="J2" s="290"/>
      <c r="K2" s="290"/>
      <c r="L2" s="290"/>
      <c r="M2" s="290"/>
      <c r="N2" s="290"/>
      <c r="O2" s="290"/>
      <c r="P2" s="290"/>
      <c r="Q2" s="290"/>
      <c r="R2" s="290"/>
      <c r="S2" s="290"/>
      <c r="T2" s="290"/>
      <c r="U2" s="290"/>
      <c r="V2" s="290"/>
      <c r="W2" s="290"/>
      <c r="X2" s="290"/>
      <c r="Y2" s="290"/>
      <c r="Z2" s="290"/>
      <c r="AA2" s="290"/>
    </row>
    <row r="3" spans="1:27" s="3" customFormat="1">
      <c r="B3" s="313"/>
      <c r="C3" s="314" t="s">
        <v>250</v>
      </c>
      <c r="D3" s="319"/>
      <c r="E3" s="378" t="s">
        <v>745</v>
      </c>
      <c r="F3" s="379"/>
      <c r="G3" s="379"/>
      <c r="H3" s="379"/>
      <c r="I3" s="379"/>
      <c r="J3" s="477"/>
      <c r="K3" s="477"/>
      <c r="L3" s="477"/>
      <c r="M3" s="477"/>
      <c r="N3" s="477"/>
      <c r="O3" s="477"/>
      <c r="P3" s="477"/>
      <c r="Q3" s="477"/>
      <c r="R3" s="477"/>
      <c r="S3" s="477"/>
      <c r="T3" s="477"/>
      <c r="U3" s="477"/>
      <c r="V3" s="477"/>
      <c r="W3" s="477"/>
      <c r="X3" s="477"/>
      <c r="Y3" s="477"/>
      <c r="Z3" s="477"/>
      <c r="AA3" s="477"/>
    </row>
    <row r="4" spans="1:27">
      <c r="B4" s="315"/>
      <c r="C4" s="316" t="s">
        <v>241</v>
      </c>
      <c r="D4" s="124"/>
      <c r="E4" s="380">
        <v>1</v>
      </c>
      <c r="F4" s="380"/>
      <c r="G4" s="380"/>
      <c r="H4" s="380"/>
      <c r="I4" s="380"/>
      <c r="J4" s="42"/>
      <c r="K4" s="42"/>
      <c r="L4" s="42"/>
      <c r="M4" s="42"/>
      <c r="N4" s="42"/>
      <c r="O4" s="42"/>
      <c r="P4" s="42"/>
      <c r="Q4" s="42"/>
      <c r="R4" s="42"/>
      <c r="S4" s="42"/>
      <c r="T4" s="42"/>
      <c r="U4" s="42"/>
      <c r="V4" s="42"/>
      <c r="W4" s="42"/>
      <c r="X4" s="42"/>
      <c r="Y4" s="42"/>
      <c r="Z4" s="42"/>
      <c r="AA4" s="42"/>
    </row>
    <row r="5" spans="1:27">
      <c r="B5" s="317"/>
      <c r="C5" s="318" t="s">
        <v>245</v>
      </c>
      <c r="D5" s="320"/>
      <c r="E5" s="381">
        <v>2500</v>
      </c>
      <c r="F5" s="382"/>
      <c r="G5" s="382"/>
      <c r="H5" s="382"/>
      <c r="I5" s="382"/>
      <c r="J5" s="42"/>
      <c r="K5" s="42"/>
      <c r="L5" s="42"/>
      <c r="M5" s="42"/>
      <c r="N5" s="42"/>
      <c r="O5" s="42"/>
      <c r="P5" s="42"/>
      <c r="Q5" s="42"/>
      <c r="R5" s="42"/>
      <c r="S5" s="42"/>
      <c r="T5" s="42"/>
      <c r="U5" s="42"/>
      <c r="V5" s="42"/>
      <c r="W5" s="42"/>
      <c r="X5" s="42"/>
      <c r="Y5" s="42"/>
      <c r="Z5" s="42"/>
      <c r="AA5" s="42"/>
    </row>
    <row r="6" spans="1:27">
      <c r="A6" s="39"/>
      <c r="C6" s="45"/>
      <c r="G6" s="36"/>
      <c r="H6" s="36"/>
      <c r="I6" s="36"/>
      <c r="J6" s="42"/>
      <c r="K6" s="42"/>
      <c r="L6" s="42"/>
      <c r="M6" s="42"/>
      <c r="N6" s="42"/>
      <c r="O6" s="42"/>
      <c r="P6" s="42"/>
      <c r="Q6" s="42"/>
      <c r="R6" s="42"/>
      <c r="S6" s="42"/>
      <c r="T6" s="42"/>
      <c r="U6" s="42"/>
      <c r="V6" s="42"/>
      <c r="W6" s="42"/>
      <c r="X6" s="42"/>
      <c r="Y6" s="42"/>
      <c r="Z6" s="42"/>
      <c r="AA6" s="42"/>
    </row>
    <row r="7" spans="1:27" s="12" customFormat="1">
      <c r="A7" s="72"/>
      <c r="B7" s="89"/>
      <c r="C7" s="90" t="s">
        <v>555</v>
      </c>
      <c r="D7" s="91"/>
      <c r="E7" s="369"/>
      <c r="F7" s="369"/>
      <c r="G7" s="369"/>
      <c r="H7" s="369"/>
      <c r="I7" s="369"/>
      <c r="J7" s="290"/>
      <c r="K7" s="290"/>
      <c r="L7" s="290"/>
      <c r="M7" s="290"/>
      <c r="N7" s="290"/>
      <c r="O7" s="290"/>
      <c r="P7" s="290"/>
      <c r="Q7" s="290"/>
      <c r="R7" s="290"/>
      <c r="S7" s="290"/>
      <c r="T7" s="290"/>
      <c r="U7" s="290"/>
      <c r="V7" s="290"/>
      <c r="W7" s="290"/>
      <c r="X7" s="290"/>
      <c r="Y7" s="290"/>
      <c r="Z7" s="290"/>
      <c r="AA7" s="290"/>
    </row>
    <row r="8" spans="1:27">
      <c r="B8" s="833" t="s">
        <v>2</v>
      </c>
      <c r="C8" s="304" t="s">
        <v>238</v>
      </c>
      <c r="D8" s="305"/>
      <c r="E8" s="307"/>
      <c r="F8" s="307"/>
      <c r="G8" s="307"/>
      <c r="H8" s="307"/>
      <c r="I8" s="307"/>
      <c r="J8" s="42"/>
      <c r="K8" s="42"/>
      <c r="L8" s="42"/>
      <c r="M8" s="42"/>
      <c r="N8" s="42"/>
      <c r="O8" s="42"/>
      <c r="P8" s="42"/>
      <c r="Q8" s="42"/>
      <c r="R8" s="42"/>
      <c r="S8" s="42"/>
      <c r="T8" s="42"/>
      <c r="U8" s="42"/>
      <c r="V8" s="42"/>
      <c r="W8" s="42"/>
      <c r="X8" s="42"/>
      <c r="Y8" s="42"/>
      <c r="Z8" s="42"/>
      <c r="AA8" s="42"/>
    </row>
    <row r="9" spans="1:27">
      <c r="B9" s="834"/>
      <c r="C9" s="331" t="s">
        <v>234</v>
      </c>
      <c r="D9" s="325"/>
      <c r="E9" s="424">
        <v>7</v>
      </c>
      <c r="F9" s="424"/>
      <c r="G9" s="424"/>
      <c r="H9" s="424"/>
      <c r="I9" s="424"/>
      <c r="J9" s="42"/>
      <c r="K9" s="42"/>
      <c r="L9" s="42"/>
      <c r="M9" s="42"/>
      <c r="N9" s="42"/>
      <c r="O9" s="42"/>
      <c r="P9" s="42"/>
      <c r="Q9" s="42"/>
      <c r="R9" s="42"/>
      <c r="S9" s="42"/>
      <c r="T9" s="42"/>
      <c r="U9" s="42"/>
      <c r="V9" s="42"/>
      <c r="W9" s="42"/>
      <c r="X9" s="42"/>
      <c r="Y9" s="42"/>
      <c r="Z9" s="42"/>
      <c r="AA9" s="42"/>
    </row>
    <row r="10" spans="1:27">
      <c r="B10" s="834"/>
      <c r="C10" s="332" t="s">
        <v>235</v>
      </c>
      <c r="D10" s="326"/>
      <c r="E10" s="425" t="s">
        <v>746</v>
      </c>
      <c r="F10" s="425"/>
      <c r="G10" s="425"/>
      <c r="H10" s="425"/>
      <c r="I10" s="425"/>
      <c r="J10" s="42"/>
      <c r="K10" s="42"/>
      <c r="L10" s="42"/>
      <c r="M10" s="42"/>
      <c r="N10" s="42"/>
      <c r="O10" s="42"/>
      <c r="P10" s="42"/>
      <c r="Q10" s="42"/>
      <c r="R10" s="42"/>
      <c r="S10" s="42"/>
      <c r="T10" s="42"/>
      <c r="U10" s="42"/>
      <c r="V10" s="42"/>
      <c r="W10" s="42"/>
      <c r="X10" s="42"/>
      <c r="Y10" s="42"/>
      <c r="Z10" s="42"/>
      <c r="AA10" s="42"/>
    </row>
    <row r="11" spans="1:27">
      <c r="B11" s="834"/>
      <c r="C11" s="332" t="s">
        <v>236</v>
      </c>
      <c r="D11" s="326"/>
      <c r="E11" s="426">
        <v>6.38</v>
      </c>
      <c r="F11" s="426"/>
      <c r="G11" s="426"/>
      <c r="H11" s="426"/>
      <c r="I11" s="426"/>
      <c r="J11" s="42"/>
      <c r="K11" s="42"/>
      <c r="L11" s="42"/>
      <c r="M11" s="42"/>
      <c r="N11" s="42"/>
      <c r="O11" s="42"/>
      <c r="P11" s="42"/>
      <c r="Q11" s="42"/>
      <c r="R11" s="42"/>
      <c r="S11" s="42"/>
      <c r="T11" s="42"/>
      <c r="U11" s="42"/>
      <c r="V11" s="42"/>
      <c r="W11" s="42"/>
      <c r="X11" s="42"/>
      <c r="Y11" s="42"/>
      <c r="Z11" s="42"/>
      <c r="AA11" s="42"/>
    </row>
    <row r="12" spans="1:27">
      <c r="B12" s="835"/>
      <c r="C12" s="306"/>
      <c r="D12" s="306" t="s">
        <v>41</v>
      </c>
      <c r="E12" s="365">
        <f>IFERROR(E5*E11/E9,"")</f>
        <v>2278.5714285714284</v>
      </c>
      <c r="F12" s="365" t="str">
        <f t="shared" ref="F12:I12" si="0">IFERROR(F5*F11/F9,"")</f>
        <v/>
      </c>
      <c r="G12" s="365" t="str">
        <f t="shared" si="0"/>
        <v/>
      </c>
      <c r="H12" s="365" t="str">
        <f t="shared" si="0"/>
        <v/>
      </c>
      <c r="I12" s="365" t="str">
        <f t="shared" si="0"/>
        <v/>
      </c>
      <c r="J12" s="42"/>
      <c r="K12" s="42"/>
      <c r="L12" s="42"/>
      <c r="M12" s="42"/>
      <c r="N12" s="42"/>
      <c r="O12" s="42"/>
      <c r="P12" s="42"/>
      <c r="Q12" s="42"/>
      <c r="R12" s="42"/>
      <c r="S12" s="42"/>
      <c r="T12" s="42"/>
      <c r="U12" s="42"/>
      <c r="V12" s="42"/>
      <c r="W12" s="42"/>
      <c r="X12" s="42"/>
      <c r="Y12" s="42"/>
      <c r="Z12" s="42"/>
      <c r="AA12" s="42"/>
    </row>
    <row r="13" spans="1:27">
      <c r="B13" s="837" t="s">
        <v>1</v>
      </c>
      <c r="C13" s="333" t="s">
        <v>237</v>
      </c>
      <c r="D13" s="327"/>
      <c r="E13" s="308"/>
      <c r="F13" s="308"/>
      <c r="G13" s="308"/>
      <c r="H13" s="308"/>
      <c r="I13" s="308"/>
      <c r="J13" s="42"/>
      <c r="K13" s="42"/>
      <c r="L13" s="42"/>
      <c r="M13" s="42"/>
      <c r="N13" s="42"/>
      <c r="O13" s="42"/>
      <c r="P13" s="42"/>
      <c r="Q13" s="42"/>
      <c r="R13" s="42"/>
      <c r="S13" s="42"/>
      <c r="T13" s="42"/>
      <c r="U13" s="42"/>
      <c r="V13" s="42"/>
      <c r="W13" s="42"/>
      <c r="X13" s="42"/>
      <c r="Y13" s="42"/>
      <c r="Z13" s="42"/>
      <c r="AA13" s="42"/>
    </row>
    <row r="14" spans="1:27">
      <c r="B14" s="807"/>
      <c r="C14" s="334" t="s">
        <v>248</v>
      </c>
      <c r="D14" s="328"/>
      <c r="E14" s="427">
        <v>12</v>
      </c>
      <c r="F14" s="427"/>
      <c r="G14" s="427"/>
      <c r="H14" s="427"/>
      <c r="I14" s="427"/>
      <c r="J14" s="42"/>
      <c r="K14" s="42"/>
      <c r="L14" s="42"/>
      <c r="M14" s="42"/>
      <c r="N14" s="42"/>
      <c r="O14" s="42"/>
      <c r="P14" s="42"/>
      <c r="Q14" s="42"/>
      <c r="R14" s="42"/>
      <c r="S14" s="42"/>
      <c r="T14" s="42"/>
      <c r="U14" s="42"/>
      <c r="V14" s="42"/>
      <c r="W14" s="42"/>
      <c r="X14" s="42"/>
      <c r="Y14" s="42"/>
      <c r="Z14" s="42"/>
      <c r="AA14" s="42"/>
    </row>
    <row r="15" spans="1:27">
      <c r="B15" s="807"/>
      <c r="C15" s="220" t="s">
        <v>564</v>
      </c>
      <c r="D15" s="329"/>
      <c r="E15" s="428">
        <v>10000</v>
      </c>
      <c r="F15" s="428"/>
      <c r="G15" s="428"/>
      <c r="H15" s="428"/>
      <c r="I15" s="428"/>
      <c r="J15" s="42"/>
      <c r="K15" s="42"/>
      <c r="L15" s="42"/>
      <c r="M15" s="42"/>
      <c r="N15" s="42"/>
      <c r="O15" s="42"/>
      <c r="P15" s="42"/>
      <c r="Q15" s="42"/>
      <c r="R15" s="42"/>
      <c r="S15" s="42"/>
      <c r="T15" s="42"/>
      <c r="U15" s="42"/>
      <c r="V15" s="42"/>
      <c r="W15" s="42"/>
      <c r="X15" s="42"/>
      <c r="Y15" s="42"/>
      <c r="Z15" s="42"/>
      <c r="AA15" s="42"/>
    </row>
    <row r="16" spans="1:27">
      <c r="B16" s="807"/>
      <c r="C16" s="220" t="s">
        <v>16</v>
      </c>
      <c r="D16" s="330"/>
      <c r="E16" s="429">
        <v>40</v>
      </c>
      <c r="F16" s="429"/>
      <c r="G16" s="429"/>
      <c r="H16" s="429"/>
      <c r="I16" s="429"/>
      <c r="J16" s="42"/>
      <c r="K16" s="42"/>
      <c r="L16" s="42"/>
      <c r="M16" s="42"/>
      <c r="N16" s="42"/>
      <c r="O16" s="42"/>
      <c r="P16" s="42"/>
      <c r="Q16" s="42"/>
      <c r="R16" s="42"/>
      <c r="S16" s="42"/>
      <c r="T16" s="42"/>
      <c r="U16" s="42"/>
      <c r="V16" s="42"/>
      <c r="W16" s="42"/>
      <c r="X16" s="42"/>
      <c r="Y16" s="42"/>
      <c r="Z16" s="42"/>
      <c r="AA16" s="42"/>
    </row>
    <row r="17" spans="2:27">
      <c r="B17" s="836"/>
      <c r="C17" s="306"/>
      <c r="D17" s="306" t="s">
        <v>41</v>
      </c>
      <c r="E17" s="364">
        <f>IFERROR(IF(E3="","",E16*E14*E5/E15),"")</f>
        <v>120</v>
      </c>
      <c r="F17" s="364" t="str">
        <f t="shared" ref="F17:I17" si="1">IFERROR(IF(F3="","",F16*F14*F5/F15),"")</f>
        <v/>
      </c>
      <c r="G17" s="364" t="str">
        <f t="shared" si="1"/>
        <v/>
      </c>
      <c r="H17" s="364" t="str">
        <f t="shared" si="1"/>
        <v/>
      </c>
      <c r="I17" s="364" t="str">
        <f t="shared" si="1"/>
        <v/>
      </c>
      <c r="J17" s="42"/>
      <c r="K17" s="42"/>
      <c r="L17" s="42"/>
      <c r="M17" s="42"/>
      <c r="N17" s="42"/>
      <c r="O17" s="42"/>
      <c r="P17" s="42"/>
      <c r="Q17" s="42"/>
      <c r="R17" s="42"/>
      <c r="S17" s="42"/>
      <c r="T17" s="42"/>
      <c r="U17" s="42"/>
      <c r="V17" s="42"/>
      <c r="W17" s="42"/>
      <c r="X17" s="42"/>
      <c r="Y17" s="42"/>
      <c r="Z17" s="42"/>
      <c r="AA17" s="42"/>
    </row>
    <row r="18" spans="2:27">
      <c r="B18" s="807" t="s">
        <v>0</v>
      </c>
      <c r="C18" s="363" t="s">
        <v>331</v>
      </c>
      <c r="D18" s="366"/>
      <c r="E18" s="367"/>
      <c r="F18" s="367"/>
      <c r="G18" s="367"/>
      <c r="H18" s="367"/>
      <c r="I18" s="367"/>
      <c r="J18" s="42"/>
      <c r="K18" s="42"/>
      <c r="L18" s="42"/>
      <c r="M18" s="42"/>
      <c r="N18" s="42"/>
      <c r="O18" s="42"/>
      <c r="P18" s="42"/>
      <c r="Q18" s="42"/>
      <c r="R18" s="42"/>
      <c r="S18" s="42"/>
      <c r="T18" s="42"/>
      <c r="U18" s="42"/>
      <c r="V18" s="42"/>
      <c r="W18" s="42"/>
      <c r="X18" s="42"/>
      <c r="Y18" s="42"/>
      <c r="Z18" s="42"/>
      <c r="AA18" s="42"/>
    </row>
    <row r="19" spans="2:27">
      <c r="B19" s="807"/>
      <c r="C19" s="220" t="s">
        <v>564</v>
      </c>
      <c r="D19" s="640"/>
      <c r="E19" s="715">
        <v>10000</v>
      </c>
      <c r="F19" s="715"/>
      <c r="G19" s="715"/>
      <c r="H19" s="715"/>
      <c r="I19" s="715"/>
      <c r="J19" s="42"/>
      <c r="K19" s="42"/>
      <c r="L19" s="42"/>
      <c r="M19" s="42"/>
      <c r="N19" s="42"/>
      <c r="O19" s="42"/>
      <c r="P19" s="42"/>
      <c r="Q19" s="42"/>
      <c r="R19" s="42"/>
      <c r="S19" s="42"/>
      <c r="T19" s="42"/>
      <c r="U19" s="42"/>
      <c r="V19" s="42"/>
      <c r="W19" s="42"/>
      <c r="X19" s="42"/>
      <c r="Y19" s="42"/>
      <c r="Z19" s="42"/>
      <c r="AA19" s="42"/>
    </row>
    <row r="20" spans="2:27">
      <c r="B20" s="807"/>
      <c r="C20" s="220" t="s">
        <v>337</v>
      </c>
      <c r="D20" s="330"/>
      <c r="E20" s="439">
        <v>30</v>
      </c>
      <c r="F20" s="439"/>
      <c r="G20" s="439"/>
      <c r="H20" s="439"/>
      <c r="I20" s="439"/>
      <c r="J20" s="42"/>
      <c r="K20" s="42"/>
      <c r="L20" s="42"/>
      <c r="M20" s="42"/>
      <c r="N20" s="42"/>
      <c r="O20" s="42"/>
      <c r="P20" s="42"/>
      <c r="Q20" s="42"/>
      <c r="R20" s="42"/>
      <c r="S20" s="42"/>
      <c r="T20" s="42"/>
      <c r="U20" s="42"/>
      <c r="V20" s="42"/>
      <c r="W20" s="42"/>
      <c r="X20" s="42"/>
      <c r="Y20" s="42"/>
      <c r="Z20" s="42"/>
      <c r="AA20" s="42"/>
    </row>
    <row r="21" spans="2:27">
      <c r="B21" s="836"/>
      <c r="C21" s="306"/>
      <c r="D21" s="306" t="s">
        <v>41</v>
      </c>
      <c r="E21" s="364">
        <f>IFERROR(IF(E3="","",E20*E5/E19),"")</f>
        <v>7.5</v>
      </c>
      <c r="F21" s="364" t="str">
        <f t="shared" ref="F21:I21" si="2">IFERROR(IF(F3="","",F20*F5/F19),"")</f>
        <v/>
      </c>
      <c r="G21" s="364" t="str">
        <f t="shared" si="2"/>
        <v/>
      </c>
      <c r="H21" s="364" t="str">
        <f t="shared" si="2"/>
        <v/>
      </c>
      <c r="I21" s="364" t="str">
        <f t="shared" si="2"/>
        <v/>
      </c>
      <c r="J21" s="42"/>
      <c r="K21" s="42"/>
      <c r="L21" s="42"/>
      <c r="M21" s="42"/>
      <c r="N21" s="42"/>
      <c r="O21" s="42"/>
      <c r="P21" s="42"/>
      <c r="Q21" s="42"/>
      <c r="R21" s="42"/>
      <c r="S21" s="42"/>
      <c r="T21" s="42"/>
      <c r="U21" s="42"/>
      <c r="V21" s="42"/>
      <c r="W21" s="42"/>
      <c r="X21" s="42"/>
      <c r="Y21" s="42"/>
      <c r="Z21" s="42"/>
      <c r="AA21" s="42"/>
    </row>
    <row r="22" spans="2:27">
      <c r="B22" s="838" t="s">
        <v>3</v>
      </c>
      <c r="C22" s="363" t="s">
        <v>565</v>
      </c>
      <c r="D22" s="366"/>
      <c r="E22" s="367"/>
      <c r="F22" s="367"/>
      <c r="G22" s="367"/>
      <c r="H22" s="367"/>
      <c r="I22" s="367"/>
      <c r="J22" s="42"/>
      <c r="K22" s="42"/>
      <c r="L22" s="42"/>
      <c r="M22" s="42"/>
      <c r="N22" s="42"/>
      <c r="O22" s="42"/>
      <c r="P22" s="42"/>
      <c r="Q22" s="42"/>
      <c r="R22" s="42"/>
      <c r="S22" s="42"/>
      <c r="T22" s="42"/>
      <c r="U22" s="42"/>
      <c r="V22" s="42"/>
      <c r="W22" s="42"/>
      <c r="X22" s="42"/>
      <c r="Y22" s="42"/>
      <c r="Z22" s="42"/>
      <c r="AA22" s="42"/>
    </row>
    <row r="23" spans="2:27">
      <c r="B23" s="839"/>
      <c r="C23" s="321" t="s">
        <v>735</v>
      </c>
      <c r="D23" s="322"/>
      <c r="E23" s="430">
        <v>1000</v>
      </c>
      <c r="F23" s="430"/>
      <c r="G23" s="430"/>
      <c r="H23" s="430"/>
      <c r="I23" s="430"/>
      <c r="J23" s="42"/>
      <c r="K23" s="42"/>
      <c r="L23" s="42"/>
      <c r="M23" s="42"/>
      <c r="N23" s="42"/>
      <c r="O23" s="42"/>
      <c r="P23" s="42"/>
      <c r="Q23" s="42"/>
      <c r="R23" s="42"/>
      <c r="S23" s="42"/>
      <c r="T23" s="42"/>
      <c r="U23" s="42"/>
      <c r="V23" s="42"/>
      <c r="W23" s="42"/>
      <c r="X23" s="42"/>
      <c r="Y23" s="42"/>
      <c r="Z23" s="42"/>
      <c r="AA23" s="42"/>
    </row>
    <row r="24" spans="2:27">
      <c r="B24" s="839"/>
      <c r="C24" s="323" t="s">
        <v>15</v>
      </c>
      <c r="D24" s="324"/>
      <c r="E24" s="431">
        <v>4</v>
      </c>
      <c r="F24" s="431"/>
      <c r="G24" s="431"/>
      <c r="H24" s="431"/>
      <c r="I24" s="431"/>
      <c r="J24" s="42"/>
      <c r="K24" s="42"/>
      <c r="L24" s="42"/>
      <c r="M24" s="42"/>
      <c r="N24" s="42"/>
      <c r="O24" s="42"/>
      <c r="P24" s="42"/>
      <c r="Q24" s="42"/>
      <c r="R24" s="42"/>
      <c r="S24" s="42"/>
      <c r="T24" s="42"/>
      <c r="U24" s="42"/>
      <c r="V24" s="42"/>
      <c r="W24" s="42"/>
      <c r="X24" s="42"/>
      <c r="Y24" s="42"/>
      <c r="Z24" s="42"/>
      <c r="AA24" s="42"/>
    </row>
    <row r="25" spans="2:27">
      <c r="B25" s="839"/>
      <c r="C25" s="220" t="s">
        <v>457</v>
      </c>
      <c r="D25" s="330"/>
      <c r="E25" s="428">
        <v>50000</v>
      </c>
      <c r="F25" s="428"/>
      <c r="G25" s="428"/>
      <c r="H25" s="428"/>
      <c r="I25" s="428"/>
      <c r="J25" s="42"/>
      <c r="K25" s="42"/>
      <c r="L25" s="42"/>
      <c r="M25" s="42"/>
      <c r="N25" s="42"/>
      <c r="O25" s="42"/>
      <c r="P25" s="42"/>
      <c r="Q25" s="42"/>
      <c r="R25" s="42"/>
      <c r="S25" s="42"/>
      <c r="T25" s="42"/>
      <c r="U25" s="42"/>
      <c r="V25" s="42"/>
      <c r="W25" s="42"/>
      <c r="X25" s="42"/>
      <c r="Y25" s="42"/>
      <c r="Z25" s="42"/>
      <c r="AA25" s="42"/>
    </row>
    <row r="26" spans="2:27">
      <c r="B26" s="840"/>
      <c r="C26" s="306"/>
      <c r="D26" s="306" t="s">
        <v>41</v>
      </c>
      <c r="E26" s="364">
        <f>IFERROR((E23*E24*E5/E25),"")</f>
        <v>200</v>
      </c>
      <c r="F26" s="364" t="str">
        <f>IFERROR((F23*F24*F5/F25),"")</f>
        <v/>
      </c>
      <c r="G26" s="364" t="str">
        <f>IFERROR((G23*G24*G5/G25),"")</f>
        <v/>
      </c>
      <c r="H26" s="364" t="str">
        <f>IFERROR((H23*H24*H5/H25),"")</f>
        <v/>
      </c>
      <c r="I26" s="364" t="str">
        <f>IFERROR((I23*I24*I5/I25),"")</f>
        <v/>
      </c>
      <c r="J26" s="42"/>
      <c r="K26" s="42"/>
      <c r="L26" s="42"/>
      <c r="M26" s="42"/>
      <c r="N26" s="42"/>
      <c r="O26" s="42"/>
      <c r="P26" s="42"/>
      <c r="Q26" s="42"/>
      <c r="R26" s="42"/>
      <c r="S26" s="42"/>
      <c r="T26" s="42"/>
      <c r="U26" s="42"/>
      <c r="V26" s="42"/>
      <c r="W26" s="42"/>
      <c r="X26" s="42"/>
      <c r="Y26" s="42"/>
      <c r="Z26" s="42"/>
      <c r="AA26" s="42"/>
    </row>
    <row r="27" spans="2:27">
      <c r="B27" s="838" t="s">
        <v>7</v>
      </c>
      <c r="C27" s="304" t="s">
        <v>14</v>
      </c>
      <c r="D27" s="339"/>
      <c r="E27" s="307"/>
      <c r="F27" s="307"/>
      <c r="G27" s="307"/>
      <c r="H27" s="307"/>
      <c r="I27" s="307"/>
      <c r="J27" s="42"/>
      <c r="K27" s="42"/>
      <c r="L27" s="42"/>
      <c r="M27" s="42"/>
      <c r="N27" s="42"/>
      <c r="O27" s="42"/>
      <c r="P27" s="42"/>
      <c r="Q27" s="42"/>
      <c r="R27" s="42"/>
      <c r="S27" s="42"/>
      <c r="T27" s="42"/>
      <c r="U27" s="42"/>
      <c r="V27" s="42"/>
      <c r="W27" s="42"/>
      <c r="X27" s="42"/>
      <c r="Y27" s="42"/>
      <c r="Z27" s="42"/>
      <c r="AA27" s="42"/>
    </row>
    <row r="28" spans="2:27">
      <c r="B28" s="839"/>
      <c r="C28" s="331" t="s">
        <v>320</v>
      </c>
      <c r="D28" s="340"/>
      <c r="E28" s="432">
        <v>0.03</v>
      </c>
      <c r="F28" s="432"/>
      <c r="G28" s="432"/>
      <c r="H28" s="432"/>
      <c r="I28" s="432"/>
      <c r="J28" s="42"/>
      <c r="K28" s="42"/>
      <c r="L28" s="42"/>
      <c r="M28" s="42"/>
      <c r="N28" s="42"/>
      <c r="O28" s="42"/>
      <c r="P28" s="42"/>
      <c r="Q28" s="42"/>
      <c r="R28" s="42"/>
      <c r="S28" s="42"/>
      <c r="T28" s="42"/>
      <c r="U28" s="42"/>
      <c r="V28" s="42"/>
      <c r="W28" s="42"/>
      <c r="X28" s="42"/>
      <c r="Y28" s="42"/>
      <c r="Z28" s="42"/>
      <c r="AA28" s="42"/>
    </row>
    <row r="29" spans="2:27">
      <c r="B29" s="839"/>
      <c r="C29" s="638" t="s">
        <v>246</v>
      </c>
      <c r="D29" s="341"/>
      <c r="E29" s="433">
        <v>218654</v>
      </c>
      <c r="F29" s="433"/>
      <c r="G29" s="433"/>
      <c r="H29" s="433"/>
      <c r="I29" s="433"/>
      <c r="J29" s="42"/>
      <c r="K29" s="42"/>
      <c r="L29" s="42"/>
      <c r="M29" s="42"/>
      <c r="N29" s="42"/>
      <c r="O29" s="42"/>
      <c r="P29" s="42"/>
      <c r="Q29" s="42"/>
      <c r="R29" s="42"/>
      <c r="S29" s="42"/>
      <c r="T29" s="42"/>
      <c r="U29" s="42"/>
      <c r="V29" s="42"/>
      <c r="W29" s="42"/>
      <c r="X29" s="42"/>
      <c r="Y29" s="42"/>
      <c r="Z29" s="42"/>
      <c r="AA29" s="42"/>
    </row>
    <row r="30" spans="2:27">
      <c r="B30" s="839"/>
      <c r="C30" s="639" t="s">
        <v>467</v>
      </c>
      <c r="D30" s="342"/>
      <c r="E30" s="434"/>
      <c r="F30" s="434"/>
      <c r="G30" s="434"/>
      <c r="H30" s="434"/>
      <c r="I30" s="434"/>
      <c r="J30" s="42"/>
      <c r="K30" s="42"/>
      <c r="L30" s="42"/>
      <c r="M30" s="42"/>
      <c r="N30" s="42"/>
      <c r="O30" s="42"/>
      <c r="P30" s="42"/>
      <c r="Q30" s="42"/>
      <c r="R30" s="42"/>
      <c r="S30" s="42"/>
      <c r="T30" s="42"/>
      <c r="U30" s="42"/>
      <c r="V30" s="42"/>
      <c r="W30" s="42"/>
      <c r="X30" s="42"/>
      <c r="Y30" s="42"/>
      <c r="Z30" s="42"/>
      <c r="AA30" s="42"/>
    </row>
    <row r="31" spans="2:27">
      <c r="B31" s="839"/>
      <c r="C31" s="639" t="s">
        <v>467</v>
      </c>
      <c r="D31" s="335"/>
      <c r="E31" s="425"/>
      <c r="F31" s="425"/>
      <c r="G31" s="425"/>
      <c r="H31" s="425"/>
      <c r="I31" s="425"/>
      <c r="J31" s="42"/>
      <c r="K31" s="42"/>
      <c r="L31" s="42"/>
      <c r="M31" s="42"/>
      <c r="N31" s="42"/>
      <c r="O31" s="42"/>
      <c r="P31" s="42"/>
      <c r="Q31" s="42"/>
      <c r="R31" s="42"/>
      <c r="S31" s="42"/>
      <c r="T31" s="42"/>
      <c r="U31" s="42"/>
      <c r="V31" s="42"/>
      <c r="W31" s="42"/>
      <c r="X31" s="42"/>
      <c r="Y31" s="42"/>
      <c r="Z31" s="42"/>
      <c r="AA31" s="42"/>
    </row>
    <row r="32" spans="2:27">
      <c r="B32" s="839"/>
      <c r="C32" s="338" t="s">
        <v>242</v>
      </c>
      <c r="D32" s="337"/>
      <c r="E32" s="425">
        <f>IF(E3="","",SUM(E29:E31))</f>
        <v>218654</v>
      </c>
      <c r="F32" s="425" t="str">
        <f>IF(F3="","",SUM(F29:F31))</f>
        <v/>
      </c>
      <c r="G32" s="425" t="str">
        <f>IF(G3="","",SUM(G29:G31))</f>
        <v/>
      </c>
      <c r="H32" s="425" t="str">
        <f>IF(H3="","",SUM(H29:H31))</f>
        <v/>
      </c>
      <c r="I32" s="425" t="str">
        <f>IF(I3="","",SUM(I29:I31))</f>
        <v/>
      </c>
      <c r="J32" s="42"/>
      <c r="K32" s="42"/>
      <c r="L32" s="42"/>
      <c r="M32" s="42"/>
      <c r="N32" s="42"/>
      <c r="O32" s="42"/>
      <c r="P32" s="42"/>
      <c r="Q32" s="42"/>
      <c r="R32" s="42"/>
      <c r="S32" s="42"/>
      <c r="T32" s="42"/>
      <c r="U32" s="42"/>
      <c r="V32" s="42"/>
      <c r="W32" s="42"/>
      <c r="X32" s="42"/>
      <c r="Y32" s="42"/>
      <c r="Z32" s="42"/>
      <c r="AA32" s="42"/>
    </row>
    <row r="33" spans="1:27">
      <c r="B33" s="840"/>
      <c r="C33" s="306"/>
      <c r="D33" s="306" t="s">
        <v>41</v>
      </c>
      <c r="E33" s="368">
        <f>IF(E3="","",E28*E32/12)</f>
        <v>546.63499999999999</v>
      </c>
      <c r="F33" s="368" t="str">
        <f>IF(F3="","",F28*F32/12)</f>
        <v/>
      </c>
      <c r="G33" s="368" t="str">
        <f>IF(G3="","",G28*G32/12)</f>
        <v/>
      </c>
      <c r="H33" s="368" t="str">
        <f>IF(H3="","",H28*H32/12)</f>
        <v/>
      </c>
      <c r="I33" s="368" t="str">
        <f>IF(I3="","",I28*I32/12)</f>
        <v/>
      </c>
      <c r="J33" s="42"/>
      <c r="K33" s="42"/>
      <c r="L33" s="42"/>
      <c r="M33" s="42"/>
      <c r="N33" s="42"/>
      <c r="O33" s="42"/>
      <c r="P33" s="42"/>
      <c r="Q33" s="42"/>
      <c r="R33" s="42"/>
      <c r="S33" s="42"/>
      <c r="T33" s="42"/>
      <c r="U33" s="42"/>
      <c r="V33" s="42"/>
      <c r="W33" s="42"/>
      <c r="X33" s="42"/>
      <c r="Y33" s="42"/>
      <c r="Z33" s="42"/>
      <c r="AA33" s="42"/>
    </row>
    <row r="34" spans="1:27" s="12" customFormat="1">
      <c r="A34" s="72"/>
      <c r="B34" s="89"/>
      <c r="C34" s="91" t="s">
        <v>556</v>
      </c>
      <c r="D34" s="91"/>
      <c r="E34" s="369">
        <f>IF(E3="","",SUM(E12,E17,E21,E26,E33))</f>
        <v>3152.7064285714287</v>
      </c>
      <c r="F34" s="369" t="str">
        <f>IF(F3="","",SUM(F12,F17,F21,F26,F33))</f>
        <v/>
      </c>
      <c r="G34" s="369" t="str">
        <f>IF(G3="","",SUM(G12,G17,G21,G26,G33))</f>
        <v/>
      </c>
      <c r="H34" s="369" t="str">
        <f>IF(H3="","",SUM(H12,H17,H21,H26,H33))</f>
        <v/>
      </c>
      <c r="I34" s="369" t="str">
        <f>IF(I3="","",SUM(I12,I17,I21,I26,I33))</f>
        <v/>
      </c>
      <c r="J34" s="290"/>
      <c r="K34" s="290"/>
      <c r="L34" s="290"/>
      <c r="M34" s="290"/>
      <c r="N34" s="290"/>
      <c r="O34" s="290"/>
      <c r="P34" s="290"/>
      <c r="Q34" s="290"/>
      <c r="R34" s="290"/>
      <c r="S34" s="290"/>
      <c r="T34" s="290"/>
      <c r="U34" s="290"/>
      <c r="V34" s="290"/>
      <c r="W34" s="290"/>
      <c r="X34" s="290"/>
      <c r="Y34" s="290"/>
      <c r="Z34" s="290"/>
      <c r="AA34" s="290"/>
    </row>
    <row r="35" spans="1:27">
      <c r="A35" s="39"/>
      <c r="C35" s="37"/>
      <c r="D35" s="38"/>
      <c r="G35" s="36"/>
      <c r="H35" s="36"/>
      <c r="I35" s="36"/>
      <c r="J35" s="42"/>
      <c r="K35" s="42"/>
      <c r="L35" s="42"/>
      <c r="M35" s="42"/>
      <c r="N35" s="42"/>
      <c r="O35" s="42"/>
      <c r="P35" s="42"/>
      <c r="Q35" s="42"/>
      <c r="R35" s="42"/>
      <c r="S35" s="42"/>
      <c r="T35" s="42"/>
      <c r="U35" s="42"/>
      <c r="V35" s="42"/>
      <c r="W35" s="42"/>
      <c r="X35" s="42"/>
      <c r="Y35" s="42"/>
      <c r="Z35" s="42"/>
      <c r="AA35" s="42"/>
    </row>
    <row r="36" spans="1:27" s="12" customFormat="1">
      <c r="A36" s="72"/>
      <c r="B36" s="89"/>
      <c r="C36" s="90" t="s">
        <v>557</v>
      </c>
      <c r="D36" s="91"/>
      <c r="E36" s="369"/>
      <c r="F36" s="369"/>
      <c r="G36" s="369"/>
      <c r="H36" s="369"/>
      <c r="I36" s="369"/>
      <c r="J36" s="290"/>
      <c r="K36" s="290"/>
      <c r="L36" s="290"/>
      <c r="M36" s="290"/>
      <c r="N36" s="290"/>
      <c r="O36" s="290"/>
      <c r="P36" s="290"/>
      <c r="Q36" s="290"/>
      <c r="R36" s="290"/>
      <c r="S36" s="290"/>
      <c r="T36" s="290"/>
      <c r="U36" s="290"/>
      <c r="V36" s="290"/>
      <c r="W36" s="290"/>
      <c r="X36" s="290"/>
      <c r="Y36" s="290"/>
      <c r="Z36" s="290"/>
      <c r="AA36" s="290"/>
    </row>
    <row r="37" spans="1:27">
      <c r="B37" s="309" t="s">
        <v>2</v>
      </c>
      <c r="C37" s="310" t="s">
        <v>654</v>
      </c>
      <c r="D37" s="442">
        <v>0.01</v>
      </c>
      <c r="E37" s="311">
        <f>IF(E3="","",E29*$D$37/12)</f>
        <v>182.21166666666667</v>
      </c>
      <c r="F37" s="311" t="str">
        <f t="shared" ref="F37:I37" si="3">IF(F3="","",F29*$D$37/12)</f>
        <v/>
      </c>
      <c r="G37" s="311" t="str">
        <f t="shared" si="3"/>
        <v/>
      </c>
      <c r="H37" s="311" t="str">
        <f t="shared" si="3"/>
        <v/>
      </c>
      <c r="I37" s="311" t="str">
        <f t="shared" si="3"/>
        <v/>
      </c>
      <c r="J37" s="42"/>
      <c r="K37" s="42"/>
      <c r="L37" s="42"/>
      <c r="M37" s="42"/>
      <c r="N37" s="42"/>
      <c r="O37" s="42"/>
      <c r="P37" s="42"/>
      <c r="Q37" s="42"/>
      <c r="R37" s="42"/>
      <c r="S37" s="42"/>
      <c r="T37" s="42"/>
      <c r="U37" s="42"/>
      <c r="V37" s="42"/>
      <c r="W37" s="42"/>
      <c r="X37" s="42"/>
      <c r="Y37" s="42"/>
      <c r="Z37" s="42"/>
      <c r="AA37" s="42"/>
    </row>
    <row r="38" spans="1:27">
      <c r="B38" s="309" t="s">
        <v>1</v>
      </c>
      <c r="C38" s="310" t="s">
        <v>655</v>
      </c>
      <c r="D38" s="442">
        <v>0.02</v>
      </c>
      <c r="E38" s="311">
        <f>IF(E3="","",E32*$D$38/12)</f>
        <v>364.42333333333335</v>
      </c>
      <c r="F38" s="311" t="str">
        <f t="shared" ref="F38:I38" si="4">IF(F3="","",F32*$D$38/12)</f>
        <v/>
      </c>
      <c r="G38" s="311" t="str">
        <f t="shared" si="4"/>
        <v/>
      </c>
      <c r="H38" s="311" t="str">
        <f t="shared" si="4"/>
        <v/>
      </c>
      <c r="I38" s="311" t="str">
        <f t="shared" si="4"/>
        <v/>
      </c>
      <c r="J38" s="42"/>
      <c r="K38" s="42"/>
      <c r="L38" s="42"/>
      <c r="M38" s="42"/>
      <c r="N38" s="42"/>
      <c r="O38" s="42"/>
      <c r="P38" s="42"/>
      <c r="Q38" s="42"/>
      <c r="R38" s="42"/>
      <c r="S38" s="42"/>
      <c r="T38" s="42"/>
      <c r="U38" s="42"/>
      <c r="V38" s="42"/>
      <c r="W38" s="42"/>
      <c r="X38" s="42"/>
      <c r="Y38" s="42"/>
      <c r="Z38" s="42"/>
      <c r="AA38" s="42"/>
    </row>
    <row r="39" spans="1:27">
      <c r="B39" s="841" t="s">
        <v>0</v>
      </c>
      <c r="C39" s="304" t="s">
        <v>12</v>
      </c>
      <c r="D39" s="443"/>
      <c r="E39" s="307"/>
      <c r="F39" s="307"/>
      <c r="G39" s="307"/>
      <c r="H39" s="307"/>
      <c r="I39" s="307"/>
      <c r="J39" s="42"/>
      <c r="K39" s="42"/>
      <c r="L39" s="42"/>
      <c r="M39" s="42"/>
      <c r="N39" s="42"/>
      <c r="O39" s="42"/>
      <c r="P39" s="42"/>
      <c r="Q39" s="42"/>
      <c r="R39" s="42"/>
      <c r="S39" s="42"/>
      <c r="T39" s="42"/>
      <c r="U39" s="42"/>
      <c r="V39" s="42"/>
      <c r="W39" s="42"/>
      <c r="X39" s="42"/>
      <c r="Y39" s="42"/>
      <c r="Z39" s="42"/>
      <c r="AA39" s="42"/>
    </row>
    <row r="40" spans="1:27">
      <c r="B40" s="842"/>
      <c r="C40" s="321" t="s">
        <v>656</v>
      </c>
      <c r="D40" s="444"/>
      <c r="E40" s="455">
        <v>1</v>
      </c>
      <c r="F40" s="455"/>
      <c r="G40" s="455"/>
      <c r="H40" s="455"/>
      <c r="I40" s="455"/>
      <c r="J40" s="42"/>
      <c r="K40" s="42"/>
      <c r="L40" s="42"/>
      <c r="M40" s="42"/>
      <c r="N40" s="42"/>
      <c r="O40" s="42"/>
      <c r="P40" s="42"/>
      <c r="Q40" s="42"/>
      <c r="R40" s="42"/>
      <c r="S40" s="42"/>
      <c r="T40" s="42"/>
      <c r="U40" s="42"/>
      <c r="V40" s="42"/>
      <c r="W40" s="42"/>
      <c r="X40" s="42"/>
      <c r="Y40" s="42"/>
      <c r="Z40" s="42"/>
      <c r="AA40" s="42"/>
    </row>
    <row r="41" spans="1:27">
      <c r="B41" s="842"/>
      <c r="C41" s="338" t="s">
        <v>657</v>
      </c>
      <c r="D41" s="456"/>
      <c r="E41" s="425">
        <f>IF(E3="","",328.51)</f>
        <v>328.51</v>
      </c>
      <c r="F41" s="425" t="str">
        <f t="shared" ref="F41:I41" si="5">IF(F3="","",328.51)</f>
        <v/>
      </c>
      <c r="G41" s="425" t="str">
        <f t="shared" si="5"/>
        <v/>
      </c>
      <c r="H41" s="425" t="str">
        <f t="shared" si="5"/>
        <v/>
      </c>
      <c r="I41" s="425" t="str">
        <f t="shared" si="5"/>
        <v/>
      </c>
      <c r="J41" s="42"/>
      <c r="K41" s="42"/>
      <c r="L41" s="42"/>
      <c r="M41" s="42"/>
      <c r="N41" s="42"/>
      <c r="O41" s="42"/>
      <c r="P41" s="42"/>
      <c r="Q41" s="42"/>
      <c r="R41" s="42"/>
      <c r="S41" s="42"/>
      <c r="T41" s="42"/>
      <c r="U41" s="42"/>
      <c r="V41" s="42"/>
      <c r="W41" s="42"/>
      <c r="X41" s="42"/>
      <c r="Y41" s="42"/>
      <c r="Z41" s="42"/>
      <c r="AA41" s="42"/>
    </row>
    <row r="42" spans="1:27">
      <c r="B42" s="843"/>
      <c r="C42" s="306"/>
      <c r="D42" s="306" t="s">
        <v>41</v>
      </c>
      <c r="E42" s="457">
        <f>IF(E$3="","",E40*E41/Proposta!$J$6)</f>
        <v>27.375833333333333</v>
      </c>
      <c r="F42" s="457" t="str">
        <f>IF(F$3="","",F40*F41/Proposta!$J$6)</f>
        <v/>
      </c>
      <c r="G42" s="457" t="str">
        <f>IF(G$3="","",G40*G41/Proposta!$J$6)</f>
        <v/>
      </c>
      <c r="H42" s="457" t="str">
        <f>IF(H$3="","",H40*H41/Proposta!$J$6)</f>
        <v/>
      </c>
      <c r="I42" s="457" t="str">
        <f>IF(I$3="","",I40*I41/Proposta!$J$6)</f>
        <v/>
      </c>
      <c r="J42" s="42"/>
      <c r="K42" s="42"/>
      <c r="L42" s="42"/>
      <c r="M42" s="42"/>
      <c r="N42" s="42"/>
      <c r="O42" s="42"/>
      <c r="P42" s="42"/>
      <c r="Q42" s="42"/>
      <c r="R42" s="42"/>
      <c r="S42" s="42"/>
      <c r="T42" s="42"/>
      <c r="U42" s="42"/>
      <c r="V42" s="42"/>
      <c r="W42" s="42"/>
      <c r="X42" s="42"/>
      <c r="Y42" s="42"/>
      <c r="Z42" s="42"/>
      <c r="AA42" s="42"/>
    </row>
    <row r="43" spans="1:27">
      <c r="B43" s="841" t="s">
        <v>3</v>
      </c>
      <c r="C43" s="304" t="s">
        <v>11</v>
      </c>
      <c r="D43" s="443"/>
      <c r="E43" s="307"/>
      <c r="F43" s="307"/>
      <c r="G43" s="307"/>
      <c r="H43" s="307"/>
      <c r="I43" s="307"/>
      <c r="J43" s="42"/>
      <c r="K43" s="42"/>
      <c r="L43" s="42"/>
      <c r="M43" s="42"/>
      <c r="N43" s="42"/>
      <c r="O43" s="42"/>
      <c r="P43" s="42"/>
      <c r="Q43" s="42"/>
      <c r="R43" s="42"/>
      <c r="S43" s="42"/>
      <c r="T43" s="42"/>
      <c r="U43" s="42"/>
      <c r="V43" s="42"/>
      <c r="W43" s="42"/>
      <c r="X43" s="42"/>
      <c r="Y43" s="42"/>
      <c r="Z43" s="42"/>
      <c r="AA43" s="42"/>
    </row>
    <row r="44" spans="1:27">
      <c r="B44" s="842"/>
      <c r="C44" s="321" t="s">
        <v>445</v>
      </c>
      <c r="D44" s="444"/>
      <c r="E44" s="455">
        <v>2</v>
      </c>
      <c r="F44" s="455"/>
      <c r="G44" s="455"/>
      <c r="H44" s="455"/>
      <c r="I44" s="455"/>
      <c r="J44" s="42"/>
      <c r="K44" s="42"/>
      <c r="L44" s="42"/>
      <c r="M44" s="42"/>
      <c r="N44" s="42"/>
      <c r="O44" s="42"/>
      <c r="P44" s="42"/>
      <c r="Q44" s="42"/>
      <c r="R44" s="42"/>
      <c r="S44" s="42"/>
      <c r="T44" s="42"/>
      <c r="U44" s="42"/>
      <c r="V44" s="42"/>
      <c r="W44" s="42"/>
      <c r="X44" s="42"/>
      <c r="Y44" s="42"/>
      <c r="Z44" s="42"/>
      <c r="AA44" s="42"/>
    </row>
    <row r="45" spans="1:27">
      <c r="B45" s="842"/>
      <c r="C45" s="338" t="s">
        <v>446</v>
      </c>
      <c r="D45" s="456"/>
      <c r="E45" s="425">
        <f>IF(E3="","",77.88)</f>
        <v>77.88</v>
      </c>
      <c r="F45" s="425" t="str">
        <f t="shared" ref="F45:I45" si="6">IF(F3="","",77.88)</f>
        <v/>
      </c>
      <c r="G45" s="425" t="str">
        <f t="shared" si="6"/>
        <v/>
      </c>
      <c r="H45" s="425" t="str">
        <f t="shared" si="6"/>
        <v/>
      </c>
      <c r="I45" s="425" t="str">
        <f t="shared" si="6"/>
        <v/>
      </c>
      <c r="J45" s="42"/>
      <c r="K45" s="42"/>
      <c r="L45" s="42"/>
      <c r="M45" s="42"/>
      <c r="N45" s="42"/>
      <c r="O45" s="42"/>
      <c r="P45" s="42"/>
      <c r="Q45" s="42"/>
      <c r="R45" s="42"/>
      <c r="S45" s="42"/>
      <c r="T45" s="42"/>
      <c r="U45" s="42"/>
      <c r="V45" s="42"/>
      <c r="W45" s="42"/>
      <c r="X45" s="42"/>
      <c r="Y45" s="42"/>
      <c r="Z45" s="42"/>
      <c r="AA45" s="42"/>
    </row>
    <row r="46" spans="1:27">
      <c r="B46" s="843"/>
      <c r="C46" s="713"/>
      <c r="D46" s="306" t="s">
        <v>41</v>
      </c>
      <c r="E46" s="714">
        <f>IF(E$3="","",E44*E45/Proposta!$J$6)</f>
        <v>12.979999999999999</v>
      </c>
      <c r="F46" s="714" t="str">
        <f>IF(F$3="","",F44*F45/Proposta!$J$6)</f>
        <v/>
      </c>
      <c r="G46" s="714" t="str">
        <f>IF(G$3="","",G44*G45/Proposta!$J$6)</f>
        <v/>
      </c>
      <c r="H46" s="714" t="str">
        <f>IF(H$3="","",H44*H45/Proposta!$J$6)</f>
        <v/>
      </c>
      <c r="I46" s="714" t="str">
        <f>IF(I$3="","",I44*I45/Proposta!$J$6)</f>
        <v/>
      </c>
      <c r="J46" s="42"/>
      <c r="K46" s="42"/>
      <c r="L46" s="42"/>
      <c r="M46" s="42"/>
      <c r="N46" s="42"/>
      <c r="O46" s="42"/>
      <c r="P46" s="42"/>
      <c r="Q46" s="42"/>
      <c r="R46" s="42"/>
      <c r="S46" s="42"/>
      <c r="T46" s="42"/>
      <c r="U46" s="42"/>
      <c r="V46" s="42"/>
      <c r="W46" s="42"/>
      <c r="X46" s="42"/>
      <c r="Y46" s="42"/>
      <c r="Z46" s="42"/>
      <c r="AA46" s="42"/>
    </row>
    <row r="47" spans="1:27">
      <c r="B47" s="841" t="s">
        <v>7</v>
      </c>
      <c r="C47" s="304" t="s">
        <v>9</v>
      </c>
      <c r="D47" s="443"/>
      <c r="E47" s="307"/>
      <c r="F47" s="307"/>
      <c r="G47" s="307"/>
      <c r="H47" s="307"/>
      <c r="I47" s="307"/>
      <c r="J47" s="42"/>
      <c r="K47" s="42"/>
      <c r="L47" s="42"/>
      <c r="M47" s="42"/>
      <c r="N47" s="42"/>
      <c r="O47" s="42"/>
      <c r="P47" s="42"/>
      <c r="Q47" s="42"/>
      <c r="R47" s="42"/>
      <c r="S47" s="42"/>
      <c r="T47" s="42"/>
      <c r="U47" s="42"/>
      <c r="V47" s="42"/>
      <c r="W47" s="42"/>
      <c r="X47" s="42"/>
      <c r="Y47" s="42"/>
      <c r="Z47" s="42"/>
      <c r="AA47" s="42"/>
    </row>
    <row r="48" spans="1:27">
      <c r="B48" s="842"/>
      <c r="C48" s="321" t="s">
        <v>658</v>
      </c>
      <c r="D48" s="444"/>
      <c r="E48" s="455">
        <v>1</v>
      </c>
      <c r="F48" s="455"/>
      <c r="G48" s="455"/>
      <c r="H48" s="455"/>
      <c r="I48" s="455"/>
      <c r="J48" s="42"/>
      <c r="K48" s="42"/>
      <c r="L48" s="42"/>
      <c r="M48" s="42"/>
      <c r="N48" s="42"/>
      <c r="O48" s="42"/>
      <c r="P48" s="42"/>
      <c r="Q48" s="42"/>
      <c r="R48" s="42"/>
      <c r="S48" s="42"/>
      <c r="T48" s="42"/>
      <c r="U48" s="42"/>
      <c r="V48" s="42"/>
      <c r="W48" s="42"/>
      <c r="X48" s="42"/>
      <c r="Y48" s="42"/>
      <c r="Z48" s="42"/>
      <c r="AA48" s="42"/>
    </row>
    <row r="49" spans="1:27">
      <c r="B49" s="842"/>
      <c r="C49" s="338" t="s">
        <v>244</v>
      </c>
      <c r="D49" s="456"/>
      <c r="E49" s="425">
        <v>290</v>
      </c>
      <c r="F49" s="425"/>
      <c r="G49" s="425"/>
      <c r="H49" s="425"/>
      <c r="I49" s="425"/>
      <c r="J49" s="42"/>
      <c r="K49" s="42"/>
      <c r="L49" s="42"/>
      <c r="M49" s="42"/>
      <c r="N49" s="42"/>
      <c r="O49" s="42"/>
      <c r="P49" s="42"/>
      <c r="Q49" s="42"/>
      <c r="R49" s="42"/>
      <c r="S49" s="42"/>
      <c r="T49" s="42"/>
      <c r="U49" s="42"/>
      <c r="V49" s="42"/>
      <c r="W49" s="42"/>
      <c r="X49" s="42"/>
      <c r="Y49" s="42"/>
      <c r="Z49" s="42"/>
      <c r="AA49" s="42"/>
    </row>
    <row r="50" spans="1:27">
      <c r="B50" s="842"/>
      <c r="C50" s="338" t="s">
        <v>243</v>
      </c>
      <c r="D50" s="445"/>
      <c r="E50" s="425">
        <v>139</v>
      </c>
      <c r="F50" s="425"/>
      <c r="G50" s="425"/>
      <c r="H50" s="425"/>
      <c r="I50" s="425"/>
      <c r="J50" s="42"/>
      <c r="K50" s="42"/>
      <c r="L50" s="42"/>
      <c r="M50" s="42"/>
      <c r="N50" s="42"/>
      <c r="O50" s="42"/>
      <c r="P50" s="42"/>
      <c r="Q50" s="42"/>
      <c r="R50" s="42"/>
      <c r="S50" s="42"/>
      <c r="T50" s="42"/>
      <c r="U50" s="42"/>
      <c r="V50" s="42"/>
      <c r="W50" s="42"/>
      <c r="X50" s="42"/>
      <c r="Y50" s="42"/>
      <c r="Z50" s="42"/>
      <c r="AA50" s="42"/>
    </row>
    <row r="51" spans="1:27">
      <c r="B51" s="843"/>
      <c r="C51" s="306"/>
      <c r="D51" s="306" t="s">
        <v>41</v>
      </c>
      <c r="E51" s="368">
        <f>IF(E3="","",IFERROR(((E48*E49)/Proposta!$J$6)+E50,0))</f>
        <v>163.16666666666666</v>
      </c>
      <c r="F51" s="368" t="str">
        <f>IF(F3="","",IFERROR(((F48*F49)/Proposta!$J$6)+F50,0))</f>
        <v/>
      </c>
      <c r="G51" s="368" t="str">
        <f>IF(G3="","",IFERROR(((G48*G49)/Proposta!$J$6)+G50,0))</f>
        <v/>
      </c>
      <c r="H51" s="368" t="str">
        <f>IF(H3="","",IFERROR(((H48*H49)/Proposta!$J$6)+H50,0))</f>
        <v/>
      </c>
      <c r="I51" s="368" t="str">
        <f>IF(I3="","",IFERROR(((I48*I49)/Proposta!$J$6)+I50,0))</f>
        <v/>
      </c>
      <c r="J51" s="42"/>
      <c r="K51" s="42"/>
      <c r="L51" s="42"/>
      <c r="M51" s="42"/>
      <c r="N51" s="42"/>
      <c r="O51" s="42"/>
      <c r="P51" s="42"/>
      <c r="Q51" s="42"/>
      <c r="R51" s="42"/>
      <c r="S51" s="42"/>
      <c r="T51" s="42"/>
      <c r="U51" s="42"/>
      <c r="V51" s="42"/>
      <c r="W51" s="42"/>
      <c r="X51" s="42"/>
      <c r="Y51" s="42"/>
      <c r="Z51" s="42"/>
      <c r="AA51" s="42"/>
    </row>
    <row r="52" spans="1:27" s="12" customFormat="1">
      <c r="A52" s="72"/>
      <c r="B52" s="89"/>
      <c r="C52" s="91" t="s">
        <v>558</v>
      </c>
      <c r="D52" s="91"/>
      <c r="E52" s="369">
        <f>IF(E3="","",SUM(E37,E42,E46,E38,E51))</f>
        <v>750.15749999999991</v>
      </c>
      <c r="F52" s="369" t="str">
        <f t="shared" ref="F52:I52" si="7">IF(F3="","",SUM(F37,F42,F46,F38,F51))</f>
        <v/>
      </c>
      <c r="G52" s="369" t="str">
        <f t="shared" si="7"/>
        <v/>
      </c>
      <c r="H52" s="369" t="str">
        <f t="shared" si="7"/>
        <v/>
      </c>
      <c r="I52" s="369" t="str">
        <f t="shared" si="7"/>
        <v/>
      </c>
      <c r="J52" s="290"/>
      <c r="K52" s="290"/>
      <c r="L52" s="290"/>
      <c r="M52" s="290"/>
      <c r="N52" s="290"/>
      <c r="O52" s="290"/>
      <c r="P52" s="290"/>
      <c r="Q52" s="290"/>
      <c r="R52" s="290"/>
      <c r="S52" s="290"/>
      <c r="T52" s="290"/>
      <c r="U52" s="290"/>
      <c r="V52" s="290"/>
      <c r="W52" s="290"/>
      <c r="X52" s="290"/>
      <c r="Y52" s="290"/>
      <c r="Z52" s="290"/>
      <c r="AA52" s="290"/>
    </row>
    <row r="53" spans="1:27">
      <c r="A53" s="39"/>
      <c r="C53" s="37"/>
      <c r="D53" s="38"/>
      <c r="G53" s="36"/>
      <c r="H53" s="36"/>
      <c r="I53" s="36"/>
      <c r="J53" s="42"/>
      <c r="K53" s="42"/>
      <c r="L53" s="42"/>
      <c r="M53" s="42"/>
      <c r="N53" s="42"/>
      <c r="O53" s="42"/>
      <c r="P53" s="42"/>
      <c r="Q53" s="42"/>
      <c r="R53" s="42"/>
      <c r="S53" s="42"/>
      <c r="T53" s="42"/>
      <c r="U53" s="42"/>
      <c r="V53" s="42"/>
      <c r="W53" s="42"/>
      <c r="X53" s="42"/>
      <c r="Y53" s="42"/>
      <c r="Z53" s="42"/>
      <c r="AA53" s="42"/>
    </row>
    <row r="54" spans="1:27" s="12" customFormat="1">
      <c r="A54" s="72"/>
      <c r="B54" s="89"/>
      <c r="C54" s="90" t="s">
        <v>559</v>
      </c>
      <c r="D54" s="91"/>
      <c r="E54" s="369"/>
      <c r="F54" s="369"/>
      <c r="G54" s="369"/>
      <c r="H54" s="369"/>
      <c r="I54" s="369"/>
      <c r="J54" s="290"/>
      <c r="K54" s="290"/>
      <c r="L54" s="290"/>
      <c r="M54" s="290"/>
      <c r="N54" s="290"/>
      <c r="O54" s="290"/>
      <c r="P54" s="290"/>
      <c r="Q54" s="290"/>
      <c r="R54" s="290"/>
      <c r="S54" s="290"/>
      <c r="T54" s="290"/>
      <c r="U54" s="290"/>
      <c r="V54" s="290"/>
      <c r="W54" s="290"/>
      <c r="X54" s="290"/>
      <c r="Y54" s="290"/>
      <c r="Z54" s="290"/>
      <c r="AA54" s="290"/>
    </row>
    <row r="55" spans="1:27">
      <c r="B55" s="844" t="s">
        <v>2</v>
      </c>
      <c r="C55" s="304" t="s">
        <v>240</v>
      </c>
      <c r="D55" s="436">
        <f>IFERROR(($D$57)/D56,"")</f>
        <v>3.3333333333333335E-3</v>
      </c>
      <c r="E55" s="307"/>
      <c r="F55" s="307"/>
      <c r="G55" s="307"/>
      <c r="H55" s="307"/>
      <c r="I55" s="307"/>
      <c r="J55" s="42"/>
      <c r="K55" s="42"/>
      <c r="L55" s="42"/>
      <c r="M55" s="42"/>
      <c r="N55" s="42"/>
      <c r="O55" s="42"/>
      <c r="P55" s="42"/>
      <c r="Q55" s="42"/>
      <c r="R55" s="42"/>
      <c r="S55" s="42"/>
      <c r="T55" s="42"/>
      <c r="U55" s="42"/>
      <c r="V55" s="42"/>
      <c r="W55" s="42"/>
      <c r="X55" s="42"/>
      <c r="Y55" s="42"/>
      <c r="Z55" s="42"/>
      <c r="AA55" s="42"/>
    </row>
    <row r="56" spans="1:27">
      <c r="B56" s="845"/>
      <c r="C56" s="321" t="s">
        <v>57</v>
      </c>
      <c r="D56" s="437">
        <v>120</v>
      </c>
      <c r="E56" s="435"/>
      <c r="F56" s="435"/>
      <c r="G56" s="435"/>
      <c r="H56" s="435"/>
      <c r="I56" s="435"/>
      <c r="J56" s="42"/>
      <c r="K56" s="42"/>
      <c r="L56" s="42"/>
      <c r="M56" s="42"/>
      <c r="N56" s="42"/>
      <c r="O56" s="42"/>
      <c r="P56" s="42"/>
      <c r="Q56" s="42"/>
      <c r="R56" s="42"/>
      <c r="S56" s="42"/>
      <c r="T56" s="42"/>
      <c r="U56" s="42"/>
      <c r="V56" s="42"/>
      <c r="W56" s="42"/>
      <c r="X56" s="42"/>
      <c r="Y56" s="42"/>
      <c r="Z56" s="42"/>
      <c r="AA56" s="42"/>
    </row>
    <row r="57" spans="1:27">
      <c r="B57" s="845"/>
      <c r="C57" s="338" t="s">
        <v>428</v>
      </c>
      <c r="D57" s="438">
        <v>0.4</v>
      </c>
      <c r="E57" s="425">
        <f>IF(E3="","",IFERROR(E32*$D$57,""))</f>
        <v>87461.6</v>
      </c>
      <c r="F57" s="425" t="str">
        <f>IF(F3="","",IFERROR(F32*$D$57,""))</f>
        <v/>
      </c>
      <c r="G57" s="425" t="str">
        <f>IF(G3="","",IFERROR(G32*$D$57,""))</f>
        <v/>
      </c>
      <c r="H57" s="425" t="str">
        <f>IF(H3="","",IFERROR(H32*$D$57,""))</f>
        <v/>
      </c>
      <c r="I57" s="425" t="str">
        <f>IF(I3="","",IFERROR(I32*$D$57,""))</f>
        <v/>
      </c>
      <c r="J57" s="42"/>
      <c r="K57" s="42"/>
      <c r="L57" s="42"/>
      <c r="M57" s="42"/>
      <c r="N57" s="42"/>
      <c r="O57" s="42"/>
      <c r="P57" s="42"/>
      <c r="Q57" s="42"/>
      <c r="R57" s="42"/>
      <c r="S57" s="42"/>
      <c r="T57" s="42"/>
      <c r="U57" s="42"/>
      <c r="V57" s="42"/>
      <c r="W57" s="42"/>
      <c r="X57" s="42"/>
      <c r="Y57" s="42"/>
      <c r="Z57" s="42"/>
      <c r="AA57" s="42"/>
    </row>
    <row r="58" spans="1:27">
      <c r="B58" s="846"/>
      <c r="C58" s="306"/>
      <c r="D58" s="458" t="s">
        <v>41</v>
      </c>
      <c r="E58" s="368">
        <f>IF(E3="","",IFERROR(E32*$D$55,""))</f>
        <v>728.84666666666669</v>
      </c>
      <c r="F58" s="368" t="str">
        <f>IF(F3="","",IFERROR(F32*$D$55,""))</f>
        <v/>
      </c>
      <c r="G58" s="368" t="str">
        <f>IF(G3="","",IFERROR(G32*$D$55,""))</f>
        <v/>
      </c>
      <c r="H58" s="368" t="str">
        <f>IF(H3="","",IFERROR(H32*$D$55,""))</f>
        <v/>
      </c>
      <c r="I58" s="368" t="str">
        <f>IF(I3="","",IFERROR(I32*$D$55,""))</f>
        <v/>
      </c>
      <c r="J58" s="42"/>
      <c r="K58" s="42"/>
      <c r="L58" s="42"/>
      <c r="M58" s="42"/>
      <c r="N58" s="42"/>
      <c r="O58" s="42"/>
      <c r="P58" s="42"/>
      <c r="Q58" s="42"/>
      <c r="R58" s="42"/>
      <c r="S58" s="42"/>
      <c r="T58" s="42"/>
      <c r="U58" s="42"/>
      <c r="V58" s="42"/>
      <c r="W58" s="42"/>
      <c r="X58" s="42"/>
      <c r="Y58" s="42"/>
      <c r="Z58" s="42"/>
      <c r="AA58" s="42"/>
    </row>
    <row r="59" spans="1:27">
      <c r="B59" s="844" t="s">
        <v>1</v>
      </c>
      <c r="C59" s="304" t="s">
        <v>8</v>
      </c>
      <c r="D59" s="436"/>
      <c r="E59" s="307"/>
      <c r="F59" s="307"/>
      <c r="G59" s="307"/>
      <c r="H59" s="307"/>
      <c r="I59" s="307"/>
      <c r="J59" s="42"/>
      <c r="K59" s="42"/>
      <c r="L59" s="42"/>
      <c r="M59" s="42"/>
      <c r="N59" s="42"/>
      <c r="O59" s="42"/>
      <c r="P59" s="42"/>
      <c r="Q59" s="42"/>
      <c r="R59" s="42"/>
      <c r="S59" s="42"/>
      <c r="T59" s="42"/>
      <c r="U59" s="42"/>
      <c r="V59" s="42"/>
      <c r="W59" s="42"/>
      <c r="X59" s="42"/>
      <c r="Y59" s="42"/>
      <c r="Z59" s="42"/>
      <c r="AA59" s="42"/>
    </row>
    <row r="60" spans="1:27">
      <c r="B60" s="845"/>
      <c r="C60" s="321" t="s">
        <v>462</v>
      </c>
      <c r="D60" s="494">
        <v>0.14249999999999999</v>
      </c>
      <c r="E60" s="435"/>
      <c r="F60" s="435"/>
      <c r="G60" s="435"/>
      <c r="H60" s="435"/>
      <c r="I60" s="435"/>
      <c r="J60" s="42"/>
      <c r="K60" s="42"/>
      <c r="L60" s="42"/>
      <c r="M60" s="42"/>
      <c r="N60" s="42"/>
      <c r="O60" s="42"/>
      <c r="P60" s="42"/>
      <c r="Q60" s="42"/>
      <c r="R60" s="42"/>
      <c r="S60" s="42"/>
      <c r="T60" s="42"/>
      <c r="U60" s="42"/>
      <c r="V60" s="42"/>
      <c r="W60" s="42"/>
      <c r="X60" s="42"/>
      <c r="Y60" s="42"/>
      <c r="Z60" s="42"/>
      <c r="AA60" s="42"/>
    </row>
    <row r="61" spans="1:27">
      <c r="B61" s="845"/>
      <c r="C61" s="338" t="s">
        <v>466</v>
      </c>
      <c r="D61" s="438">
        <f>ROUND(POWER((100%+D60),1/12)-100%,4)</f>
        <v>1.12E-2</v>
      </c>
      <c r="E61" s="425"/>
      <c r="F61" s="425"/>
      <c r="G61" s="425"/>
      <c r="H61" s="425"/>
      <c r="I61" s="425"/>
      <c r="J61" s="42"/>
      <c r="K61" s="42"/>
      <c r="L61" s="42"/>
      <c r="M61" s="42"/>
      <c r="N61" s="42"/>
      <c r="O61" s="42"/>
      <c r="P61" s="42"/>
      <c r="Q61" s="42"/>
      <c r="R61" s="42"/>
      <c r="S61" s="42"/>
      <c r="T61" s="42"/>
      <c r="U61" s="42"/>
      <c r="V61" s="42"/>
      <c r="W61" s="42"/>
      <c r="X61" s="42"/>
      <c r="Y61" s="42"/>
      <c r="Z61" s="42"/>
      <c r="AA61" s="42"/>
    </row>
    <row r="62" spans="1:27">
      <c r="B62" s="846"/>
      <c r="C62" s="306"/>
      <c r="D62" s="458" t="s">
        <v>41</v>
      </c>
      <c r="E62" s="368">
        <f>IF(E3="","",IFERROR(E32*$D$61,""))</f>
        <v>2448.9247999999998</v>
      </c>
      <c r="F62" s="368" t="str">
        <f>IF(F3="","",IFERROR(F32*$D$61,""))</f>
        <v/>
      </c>
      <c r="G62" s="368" t="str">
        <f>IF(G3="","",IFERROR(G32*$D$61,""))</f>
        <v/>
      </c>
      <c r="H62" s="368" t="str">
        <f>IF(H3="","",IFERROR(H32*$D$61,""))</f>
        <v/>
      </c>
      <c r="I62" s="368" t="str">
        <f>IF(I3="","",IFERROR(I32*$D$61,""))</f>
        <v/>
      </c>
      <c r="J62" s="42"/>
      <c r="K62" s="42"/>
      <c r="L62" s="42"/>
      <c r="M62" s="42"/>
      <c r="N62" s="42"/>
      <c r="O62" s="42"/>
      <c r="P62" s="42"/>
      <c r="Q62" s="42"/>
      <c r="R62" s="42"/>
      <c r="S62" s="42"/>
      <c r="T62" s="42"/>
      <c r="U62" s="42"/>
      <c r="V62" s="42"/>
      <c r="W62" s="42"/>
      <c r="X62" s="42"/>
      <c r="Y62" s="42"/>
      <c r="Z62" s="42"/>
      <c r="AA62" s="42"/>
    </row>
    <row r="63" spans="1:27" s="12" customFormat="1">
      <c r="A63" s="72"/>
      <c r="B63" s="89"/>
      <c r="C63" s="91" t="s">
        <v>560</v>
      </c>
      <c r="D63" s="91"/>
      <c r="E63" s="369">
        <f>IF(E3="","",SUM(E62,E58))</f>
        <v>3177.7714666666666</v>
      </c>
      <c r="F63" s="369" t="str">
        <f>IF(F3="","",SUM(F62,F58))</f>
        <v/>
      </c>
      <c r="G63" s="369" t="str">
        <f>IF(G3="","",SUM(G62,G58))</f>
        <v/>
      </c>
      <c r="H63" s="369" t="str">
        <f>IF(H3="","",SUM(H62,H58))</f>
        <v/>
      </c>
      <c r="I63" s="369" t="str">
        <f>IF(I3="","",SUM(I62,I58))</f>
        <v/>
      </c>
      <c r="J63" s="290"/>
      <c r="K63" s="290"/>
      <c r="L63" s="290"/>
      <c r="M63" s="290"/>
      <c r="N63" s="290"/>
      <c r="O63" s="290"/>
      <c r="P63" s="290"/>
      <c r="Q63" s="290"/>
      <c r="R63" s="290"/>
      <c r="S63" s="290"/>
      <c r="T63" s="290"/>
      <c r="U63" s="290"/>
      <c r="V63" s="290"/>
      <c r="W63" s="290"/>
      <c r="X63" s="290"/>
      <c r="Y63" s="290"/>
      <c r="Z63" s="290"/>
      <c r="AA63" s="290"/>
    </row>
    <row r="64" spans="1:27">
      <c r="B64"/>
      <c r="C64"/>
      <c r="D64"/>
      <c r="E64"/>
      <c r="F64"/>
      <c r="J64" s="42"/>
      <c r="K64" s="42"/>
      <c r="L64" s="42"/>
      <c r="M64" s="42"/>
      <c r="N64" s="42"/>
      <c r="O64" s="42"/>
      <c r="P64" s="42"/>
      <c r="Q64" s="42"/>
      <c r="R64" s="42"/>
      <c r="S64" s="42"/>
      <c r="T64" s="42"/>
      <c r="U64" s="42"/>
      <c r="V64" s="42"/>
      <c r="W64" s="42"/>
      <c r="X64" s="42"/>
      <c r="Y64" s="42"/>
      <c r="Z64" s="42"/>
      <c r="AA64" s="42"/>
    </row>
    <row r="65" spans="2:27">
      <c r="B65" s="89"/>
      <c r="C65" s="90" t="s">
        <v>561</v>
      </c>
      <c r="D65" s="91"/>
      <c r="E65" s="369"/>
      <c r="F65" s="369"/>
      <c r="G65" s="369"/>
      <c r="H65" s="369"/>
      <c r="I65" s="369"/>
      <c r="J65" s="42"/>
      <c r="K65" s="42"/>
      <c r="L65" s="42"/>
      <c r="M65" s="42"/>
      <c r="N65" s="42"/>
      <c r="O65" s="42"/>
      <c r="P65" s="42"/>
      <c r="Q65" s="42"/>
      <c r="R65" s="42"/>
      <c r="S65" s="42"/>
      <c r="T65" s="42"/>
      <c r="U65" s="42"/>
      <c r="V65" s="42"/>
      <c r="W65" s="42"/>
      <c r="X65" s="42"/>
      <c r="Y65" s="42"/>
      <c r="Z65" s="42"/>
      <c r="AA65" s="42"/>
    </row>
    <row r="66" spans="2:27" ht="3.75" customHeight="1">
      <c r="B66"/>
      <c r="C66"/>
      <c r="D66"/>
      <c r="E66"/>
      <c r="F66"/>
      <c r="J66" s="42"/>
      <c r="K66" s="42"/>
      <c r="L66" s="42"/>
      <c r="M66" s="42"/>
      <c r="N66" s="42"/>
      <c r="O66" s="42"/>
      <c r="P66" s="42"/>
      <c r="Q66" s="42"/>
      <c r="R66" s="42"/>
      <c r="S66" s="42"/>
      <c r="T66" s="42"/>
      <c r="U66" s="42"/>
      <c r="V66" s="42"/>
      <c r="W66" s="42"/>
      <c r="X66" s="42"/>
      <c r="Y66" s="42"/>
      <c r="Z66" s="42"/>
      <c r="AA66" s="42"/>
    </row>
    <row r="67" spans="2:27">
      <c r="B67" s="171"/>
      <c r="C67" s="172" t="s">
        <v>562</v>
      </c>
      <c r="D67" s="173"/>
      <c r="E67" s="176"/>
      <c r="F67" s="176"/>
      <c r="G67" s="176"/>
      <c r="H67" s="176"/>
      <c r="I67" s="176"/>
      <c r="J67" s="42"/>
      <c r="K67" s="42"/>
      <c r="L67" s="42"/>
      <c r="M67" s="42"/>
      <c r="N67" s="42"/>
      <c r="O67" s="42"/>
      <c r="P67" s="42"/>
      <c r="Q67" s="42"/>
      <c r="R67" s="42"/>
      <c r="S67" s="42"/>
      <c r="T67" s="42"/>
      <c r="U67" s="42"/>
      <c r="V67" s="42"/>
      <c r="W67" s="42"/>
      <c r="X67" s="42"/>
      <c r="Y67" s="42"/>
      <c r="Z67" s="42"/>
      <c r="AA67" s="42"/>
    </row>
    <row r="68" spans="2:27">
      <c r="B68" s="87" t="s">
        <v>2</v>
      </c>
      <c r="C68" s="88" t="s">
        <v>227</v>
      </c>
      <c r="D68" s="406">
        <f>'Mão de Obra'!D158</f>
        <v>0.05</v>
      </c>
      <c r="E68" s="99">
        <f>IF(E3="","",IFERROR(ROUND($D68*E$92,2),""))</f>
        <v>354.03</v>
      </c>
      <c r="F68" s="99" t="str">
        <f>IF(F3="","",IFERROR(ROUND($D68*F$92,2),""))</f>
        <v/>
      </c>
      <c r="G68" s="99" t="str">
        <f>IF(G3="","",IFERROR(ROUND($D68*G$92,2),""))</f>
        <v/>
      </c>
      <c r="H68" s="99" t="str">
        <f>IF(H3="","",IFERROR(ROUND($D68*H$92,2),""))</f>
        <v/>
      </c>
      <c r="I68" s="99" t="str">
        <f>IF(I3="","",IFERROR(ROUND($D68*I$92,2),""))</f>
        <v/>
      </c>
      <c r="J68" s="42"/>
      <c r="K68" s="488"/>
      <c r="L68" s="42"/>
      <c r="M68" s="42"/>
      <c r="N68" s="42"/>
      <c r="O68" s="42"/>
      <c r="P68" s="42"/>
      <c r="Q68" s="42"/>
      <c r="R68" s="42"/>
      <c r="S68" s="42"/>
      <c r="T68" s="42"/>
      <c r="U68" s="42"/>
      <c r="V68" s="42"/>
      <c r="W68" s="42"/>
      <c r="X68" s="42"/>
      <c r="Y68" s="42"/>
      <c r="Z68" s="42"/>
      <c r="AA68" s="42"/>
    </row>
    <row r="69" spans="2:27">
      <c r="B69" s="87" t="s">
        <v>1</v>
      </c>
      <c r="C69" s="88" t="s">
        <v>228</v>
      </c>
      <c r="D69" s="406">
        <f>'Mão de Obra'!D159</f>
        <v>0.1</v>
      </c>
      <c r="E69" s="99">
        <f>IF(E4="","",IFERROR(ROUND($D69*SUM(E$68,E$92),2),""))</f>
        <v>743.47</v>
      </c>
      <c r="F69" s="99" t="str">
        <f>IF(F4="","",IFERROR(ROUND($D69*SUM(F$68,F$92),2),""))</f>
        <v/>
      </c>
      <c r="G69" s="99" t="str">
        <f>IF(G4="","",IFERROR(ROUND($D69*SUM(G$68,G$92),2),""))</f>
        <v/>
      </c>
      <c r="H69" s="99" t="str">
        <f>IF(H4="","",IFERROR(ROUND($D69*SUM(H$68,H$92),2),""))</f>
        <v/>
      </c>
      <c r="I69" s="99" t="str">
        <f>IF(I4="","",IFERROR(ROUND($D69*SUM(I$68,I$92),2),""))</f>
        <v/>
      </c>
      <c r="J69" s="42"/>
      <c r="K69" s="42"/>
      <c r="L69" s="42"/>
      <c r="M69" s="42"/>
      <c r="N69" s="42"/>
      <c r="O69" s="42"/>
      <c r="P69" s="42"/>
      <c r="Q69" s="42"/>
      <c r="R69" s="42"/>
      <c r="S69" s="42"/>
      <c r="T69" s="42"/>
      <c r="U69" s="42"/>
      <c r="V69" s="42"/>
      <c r="W69" s="42"/>
      <c r="X69" s="42"/>
      <c r="Y69" s="42"/>
      <c r="Z69" s="42"/>
      <c r="AA69" s="42"/>
    </row>
    <row r="70" spans="2:27">
      <c r="B70" s="171"/>
      <c r="C70" s="172" t="s">
        <v>120</v>
      </c>
      <c r="D70" s="175"/>
      <c r="E70" s="176">
        <f>IF(E3="","",SUM(E68:E69))</f>
        <v>1097.5</v>
      </c>
      <c r="F70" s="176" t="str">
        <f>IF(F3="","",SUM(F68:F69))</f>
        <v/>
      </c>
      <c r="G70" s="176" t="str">
        <f>IF(G3="","",SUM(G68:G69))</f>
        <v/>
      </c>
      <c r="H70" s="176" t="str">
        <f>IF(H3="","",SUM(H68:H69))</f>
        <v/>
      </c>
      <c r="I70" s="176" t="str">
        <f>IF(I3="","",SUM(I68:I69))</f>
        <v/>
      </c>
      <c r="J70" s="42"/>
      <c r="K70" s="42"/>
      <c r="L70" s="42"/>
      <c r="M70" s="42"/>
      <c r="N70" s="42"/>
      <c r="O70" s="42"/>
      <c r="P70" s="42"/>
      <c r="Q70" s="42"/>
      <c r="R70" s="42"/>
      <c r="S70" s="42"/>
      <c r="T70" s="42"/>
      <c r="U70" s="42"/>
      <c r="V70" s="42"/>
      <c r="W70" s="42"/>
      <c r="X70" s="42"/>
      <c r="Y70" s="42"/>
      <c r="Z70" s="42"/>
      <c r="AA70" s="42"/>
    </row>
    <row r="71" spans="2:27" ht="3.75" customHeight="1">
      <c r="B71"/>
      <c r="C71"/>
      <c r="D71"/>
      <c r="E71"/>
      <c r="F71"/>
      <c r="J71" s="42"/>
      <c r="K71" s="42"/>
      <c r="L71" s="42"/>
      <c r="M71" s="42"/>
      <c r="N71" s="42"/>
      <c r="O71" s="42"/>
      <c r="P71" s="42"/>
      <c r="Q71" s="42"/>
      <c r="R71" s="42"/>
      <c r="S71" s="42"/>
      <c r="T71" s="42"/>
      <c r="U71" s="42"/>
      <c r="V71" s="42"/>
      <c r="W71" s="42"/>
      <c r="X71" s="42"/>
      <c r="Y71" s="42"/>
      <c r="Z71" s="42"/>
      <c r="AA71" s="42"/>
    </row>
    <row r="72" spans="2:27">
      <c r="B72" s="171"/>
      <c r="C72" s="172" t="s">
        <v>563</v>
      </c>
      <c r="D72" s="173"/>
      <c r="E72" s="176"/>
      <c r="F72" s="176"/>
      <c r="G72" s="176"/>
      <c r="H72" s="176"/>
      <c r="I72" s="176"/>
      <c r="J72" s="42"/>
      <c r="K72" s="42"/>
      <c r="L72" s="42"/>
      <c r="M72" s="42"/>
      <c r="N72" s="42"/>
      <c r="O72" s="42"/>
      <c r="P72" s="42"/>
      <c r="Q72" s="42"/>
      <c r="R72" s="42"/>
      <c r="S72" s="42"/>
      <c r="T72" s="42"/>
      <c r="U72" s="42"/>
      <c r="V72" s="42"/>
      <c r="W72" s="42"/>
      <c r="X72" s="42"/>
      <c r="Y72" s="42"/>
      <c r="Z72" s="42"/>
      <c r="AA72" s="42"/>
    </row>
    <row r="73" spans="2:27">
      <c r="B73" s="87" t="s">
        <v>2</v>
      </c>
      <c r="C73" s="88" t="s">
        <v>43</v>
      </c>
      <c r="D73" s="406">
        <f>'Mão de Obra'!D163</f>
        <v>0.03</v>
      </c>
      <c r="E73" s="99">
        <f t="shared" ref="E73:I74" si="8">IF(E$3="","",IFERROR(ROUND(SUM(E$92,E$70)*$D73/(1-SUM($D$73:$D$78,E$76)),2),""))</f>
        <v>268.58</v>
      </c>
      <c r="F73" s="99" t="str">
        <f t="shared" si="8"/>
        <v/>
      </c>
      <c r="G73" s="99" t="str">
        <f t="shared" si="8"/>
        <v/>
      </c>
      <c r="H73" s="99" t="str">
        <f t="shared" si="8"/>
        <v/>
      </c>
      <c r="I73" s="99" t="str">
        <f t="shared" si="8"/>
        <v/>
      </c>
      <c r="J73" s="42"/>
      <c r="K73" s="42"/>
      <c r="L73" s="42"/>
      <c r="M73" s="42"/>
      <c r="N73" s="42"/>
      <c r="O73" s="42"/>
      <c r="P73" s="42"/>
      <c r="Q73" s="42"/>
      <c r="R73" s="42"/>
      <c r="S73" s="42"/>
      <c r="T73" s="42"/>
      <c r="U73" s="42"/>
      <c r="V73" s="42"/>
      <c r="W73" s="42"/>
      <c r="X73" s="42"/>
      <c r="Y73" s="42"/>
      <c r="Z73" s="42"/>
      <c r="AA73" s="42"/>
    </row>
    <row r="74" spans="2:27">
      <c r="B74" s="87" t="s">
        <v>1</v>
      </c>
      <c r="C74" s="88" t="s">
        <v>107</v>
      </c>
      <c r="D74" s="406">
        <f>'Mão de Obra'!D164</f>
        <v>6.4999999999999997E-3</v>
      </c>
      <c r="E74" s="99">
        <f t="shared" si="8"/>
        <v>58.19</v>
      </c>
      <c r="F74" s="99" t="str">
        <f t="shared" si="8"/>
        <v/>
      </c>
      <c r="G74" s="99" t="str">
        <f t="shared" si="8"/>
        <v/>
      </c>
      <c r="H74" s="99" t="str">
        <f t="shared" si="8"/>
        <v/>
      </c>
      <c r="I74" s="99" t="str">
        <f t="shared" si="8"/>
        <v/>
      </c>
      <c r="J74" s="42"/>
      <c r="K74" s="42"/>
      <c r="L74" s="42"/>
      <c r="M74" s="42"/>
      <c r="N74" s="42"/>
      <c r="O74" s="42"/>
      <c r="P74" s="42"/>
      <c r="Q74" s="42"/>
      <c r="R74" s="42"/>
      <c r="S74" s="42"/>
      <c r="T74" s="42"/>
      <c r="U74" s="42"/>
      <c r="V74" s="42"/>
      <c r="W74" s="42"/>
      <c r="X74" s="42"/>
      <c r="Y74" s="42"/>
      <c r="Z74" s="42"/>
      <c r="AA74" s="42"/>
    </row>
    <row r="75" spans="2:27">
      <c r="B75" s="801" t="s">
        <v>0</v>
      </c>
      <c r="C75" s="160" t="s">
        <v>44</v>
      </c>
      <c r="D75" s="414"/>
      <c r="E75" s="148"/>
      <c r="F75" s="148"/>
      <c r="G75" s="148"/>
      <c r="H75" s="148"/>
      <c r="I75" s="148"/>
      <c r="J75" s="42"/>
      <c r="K75" s="42"/>
      <c r="L75" s="42"/>
      <c r="M75" s="42"/>
      <c r="N75" s="42"/>
      <c r="O75" s="42"/>
      <c r="P75" s="42"/>
      <c r="Q75" s="42"/>
      <c r="R75" s="42"/>
      <c r="S75" s="42"/>
      <c r="T75" s="42"/>
      <c r="U75" s="42"/>
      <c r="V75" s="42"/>
      <c r="W75" s="42"/>
      <c r="X75" s="42"/>
      <c r="Y75" s="42"/>
      <c r="Z75" s="42"/>
      <c r="AA75" s="42"/>
    </row>
    <row r="76" spans="2:27">
      <c r="B76" s="802"/>
      <c r="C76" s="338" t="s">
        <v>353</v>
      </c>
      <c r="D76" s="438"/>
      <c r="E76" s="461">
        <f>IF('Mão de Obra'!E23="","",IF('Mão de Obra'!E23="SINDIELV",5%,2.5%))</f>
        <v>0.05</v>
      </c>
      <c r="F76" s="461" t="str">
        <f>IF('Mão de Obra'!F23="","",IF('Mão de Obra'!F23="SINDIELV",5%,2.5%))</f>
        <v/>
      </c>
      <c r="G76" s="461" t="str">
        <f>IF('Mão de Obra'!G23="","",IF('Mão de Obra'!G23="SINDIELV",5%,2.5%))</f>
        <v/>
      </c>
      <c r="H76" s="461" t="str">
        <f>IF('Mão de Obra'!H23="","",IF('Mão de Obra'!H23="SINDIELV",5%,2.5%))</f>
        <v/>
      </c>
      <c r="I76" s="461" t="str">
        <f>IF('Mão de Obra'!I23="","",IF('Mão de Obra'!I23="SINDIELV",5%,2.5%))</f>
        <v/>
      </c>
      <c r="J76" s="42"/>
      <c r="K76" s="42"/>
      <c r="L76" s="42"/>
      <c r="M76" s="42"/>
      <c r="N76" s="42"/>
      <c r="O76" s="42"/>
      <c r="P76" s="42"/>
      <c r="Q76" s="42"/>
      <c r="R76" s="42"/>
      <c r="S76" s="42"/>
      <c r="T76" s="42"/>
      <c r="U76" s="42"/>
      <c r="V76" s="42"/>
      <c r="W76" s="42"/>
      <c r="X76" s="42"/>
      <c r="Y76" s="42"/>
      <c r="Z76" s="42"/>
      <c r="AA76" s="42"/>
    </row>
    <row r="77" spans="2:27">
      <c r="B77" s="803"/>
      <c r="C77" s="306"/>
      <c r="D77" s="458" t="s">
        <v>41</v>
      </c>
      <c r="E77" s="368">
        <f>IF(E$3="","",IFERROR(ROUND(SUM(E$92,E$70)*$E76/(1-SUM($D$73:$D$78,E$76)),2),""))</f>
        <v>447.63</v>
      </c>
      <c r="F77" s="368" t="str">
        <f>IF(F$3="","",IFERROR(ROUND(SUM(F$92,F$70)*$E76/(1-SUM($D$73:$D$78,F$76)),2),""))</f>
        <v/>
      </c>
      <c r="G77" s="368" t="str">
        <f>IF(G$3="","",IFERROR(ROUND(SUM(G$92,G$70)*$E76/(1-SUM($D$73:$D$78,G$76)),2),""))</f>
        <v/>
      </c>
      <c r="H77" s="368" t="str">
        <f>IF(H$3="","",IFERROR(ROUND(SUM(H$92,H$70)*$E76/(1-SUM($D$73:$D$78,H$76)),2),""))</f>
        <v/>
      </c>
      <c r="I77" s="368" t="str">
        <f>IF(I$3="","",IFERROR(ROUND(SUM(I$92,I$70)*$E76/(1-SUM($D$73:$D$78,I$76)),2),""))</f>
        <v/>
      </c>
      <c r="J77" s="42"/>
      <c r="K77" s="42"/>
      <c r="L77" s="42"/>
      <c r="M77" s="42"/>
      <c r="N77" s="42"/>
      <c r="O77" s="42"/>
      <c r="P77" s="42"/>
      <c r="Q77" s="42"/>
      <c r="R77" s="42"/>
      <c r="S77" s="42"/>
      <c r="T77" s="42"/>
      <c r="U77" s="42"/>
      <c r="V77" s="42"/>
      <c r="W77" s="42"/>
      <c r="X77" s="42"/>
      <c r="Y77" s="42"/>
      <c r="Z77" s="42"/>
      <c r="AA77" s="42"/>
    </row>
    <row r="78" spans="2:27">
      <c r="B78" s="390" t="s">
        <v>3</v>
      </c>
      <c r="C78" s="391" t="s">
        <v>303</v>
      </c>
      <c r="D78" s="406">
        <f>'Mão de Obra'!D168</f>
        <v>0</v>
      </c>
      <c r="E78" s="99">
        <f>IF(E$3="","",IFERROR(ROUND(SUM(E$92,E$70)*$D78/(1-SUM($D$73:$D$78,E$76)),2),""))</f>
        <v>0</v>
      </c>
      <c r="F78" s="99" t="str">
        <f>IF(F$3="","",IFERROR(ROUND(SUM(F$92,F$70)*$D78/(1-SUM($D$73:$D$78,F$76)),2),""))</f>
        <v/>
      </c>
      <c r="G78" s="99" t="str">
        <f>IF(G$3="","",IFERROR(ROUND(SUM(G$92,G$70)*$D78/(1-SUM($D$73:$D$78,G$76)),2),""))</f>
        <v/>
      </c>
      <c r="H78" s="99" t="str">
        <f>IF(H$3="","",IFERROR(ROUND(SUM(H$92,H$70)*$D78/(1-SUM($D$73:$D$78,H$76)),2),""))</f>
        <v/>
      </c>
      <c r="I78" s="99" t="str">
        <f>IF(I$3="","",IFERROR(ROUND(SUM(I$92,I$70)*$D78/(1-SUM($D$73:$D$78,I$76)),2),""))</f>
        <v/>
      </c>
      <c r="J78" s="42"/>
      <c r="K78" s="42"/>
      <c r="L78" s="42"/>
      <c r="M78" s="42"/>
      <c r="N78" s="42"/>
      <c r="O78" s="42"/>
      <c r="P78" s="42"/>
      <c r="Q78" s="42"/>
      <c r="R78" s="42"/>
      <c r="S78" s="42"/>
      <c r="T78" s="42"/>
      <c r="U78" s="42"/>
      <c r="V78" s="42"/>
      <c r="W78" s="42"/>
      <c r="X78" s="42"/>
      <c r="Y78" s="42"/>
      <c r="Z78" s="42"/>
      <c r="AA78" s="42"/>
    </row>
    <row r="79" spans="2:27">
      <c r="B79" s="171"/>
      <c r="C79" s="172" t="s">
        <v>121</v>
      </c>
      <c r="D79" s="175"/>
      <c r="E79" s="192">
        <f>IF(E4="","",SUM(E73:E74,E77:E78))</f>
        <v>774.4</v>
      </c>
      <c r="F79" s="192" t="str">
        <f>IF(F4="","",SUM(F73:F74,F77:F78))</f>
        <v/>
      </c>
      <c r="G79" s="192" t="str">
        <f>IF(G4="","",SUM(G73:G74,G77:G78))</f>
        <v/>
      </c>
      <c r="H79" s="192" t="str">
        <f>IF(H4="","",SUM(H73:H74,H77:H78))</f>
        <v/>
      </c>
      <c r="I79" s="192" t="str">
        <f>IF(I4="","",SUM(I73:I74,I77:I78))</f>
        <v/>
      </c>
      <c r="J79" s="42"/>
      <c r="K79" s="42"/>
      <c r="L79" s="42"/>
      <c r="M79" s="42"/>
      <c r="N79" s="42"/>
      <c r="O79" s="42"/>
      <c r="P79" s="42"/>
      <c r="Q79" s="42"/>
      <c r="R79" s="42"/>
      <c r="S79" s="42"/>
      <c r="T79" s="42"/>
      <c r="U79" s="42"/>
      <c r="V79" s="42"/>
      <c r="W79" s="42"/>
      <c r="X79" s="42"/>
      <c r="Y79" s="42"/>
      <c r="Z79" s="42"/>
      <c r="AA79" s="42"/>
    </row>
    <row r="80" spans="2:27" ht="3.75" customHeight="1">
      <c r="B80"/>
      <c r="C80"/>
      <c r="D80"/>
      <c r="E80"/>
      <c r="F80"/>
      <c r="J80" s="42"/>
      <c r="K80" s="42"/>
      <c r="L80" s="42"/>
      <c r="M80" s="42"/>
      <c r="N80" s="42"/>
      <c r="O80" s="42"/>
      <c r="P80" s="42"/>
      <c r="Q80" s="42"/>
      <c r="R80" s="42"/>
      <c r="S80" s="42"/>
      <c r="T80" s="42"/>
      <c r="U80" s="42"/>
      <c r="V80" s="42"/>
      <c r="W80" s="42"/>
      <c r="X80" s="42"/>
      <c r="Y80" s="42"/>
      <c r="Z80" s="42"/>
      <c r="AA80" s="42"/>
    </row>
    <row r="81" spans="2:27">
      <c r="B81" s="157"/>
      <c r="C81" s="90" t="s">
        <v>122</v>
      </c>
      <c r="D81" s="153"/>
      <c r="E81" s="155">
        <f>IF(E$3="","",SUM(E79,E70))</f>
        <v>1871.9</v>
      </c>
      <c r="F81" s="155" t="str">
        <f>IF(F$3="","",SUM(F79,F70))</f>
        <v/>
      </c>
      <c r="G81" s="155" t="str">
        <f>IF(G$3="","",SUM(G79,G70))</f>
        <v/>
      </c>
      <c r="H81" s="155" t="str">
        <f>IF(H$3="","",SUM(H79,H70))</f>
        <v/>
      </c>
      <c r="I81" s="155" t="str">
        <f>IF(I$3="","",SUM(I79,I70))</f>
        <v/>
      </c>
      <c r="J81" s="42"/>
      <c r="K81" s="42"/>
      <c r="L81" s="42"/>
      <c r="M81" s="42"/>
      <c r="N81" s="42"/>
      <c r="O81" s="42"/>
      <c r="P81" s="42"/>
      <c r="Q81" s="42"/>
      <c r="R81" s="42"/>
      <c r="S81" s="42"/>
      <c r="T81" s="42"/>
      <c r="U81" s="42"/>
      <c r="V81" s="42"/>
      <c r="W81" s="42"/>
      <c r="X81" s="42"/>
      <c r="Y81" s="42"/>
      <c r="Z81" s="42"/>
      <c r="AA81" s="42"/>
    </row>
    <row r="82" spans="2:27">
      <c r="J82" s="42"/>
      <c r="K82" s="42"/>
      <c r="L82" s="42"/>
      <c r="M82" s="42"/>
      <c r="N82" s="42"/>
      <c r="O82" s="42"/>
      <c r="P82" s="42"/>
      <c r="Q82" s="42"/>
      <c r="R82" s="42"/>
      <c r="S82" s="42"/>
      <c r="T82" s="42"/>
      <c r="U82" s="42"/>
      <c r="V82" s="42"/>
      <c r="W82" s="42"/>
      <c r="X82" s="42"/>
      <c r="Y82" s="42"/>
      <c r="Z82" s="42"/>
      <c r="AA82" s="42"/>
    </row>
    <row r="83" spans="2:27">
      <c r="B83" s="89"/>
      <c r="C83" s="90" t="s">
        <v>423</v>
      </c>
      <c r="D83" s="91"/>
      <c r="E83" s="369"/>
      <c r="F83" s="369"/>
      <c r="G83" s="369"/>
      <c r="H83" s="369"/>
      <c r="I83" s="369"/>
      <c r="J83" s="42"/>
      <c r="K83" s="42"/>
      <c r="L83" s="42"/>
      <c r="M83" s="42"/>
      <c r="N83" s="42"/>
      <c r="O83" s="42"/>
      <c r="P83" s="42"/>
      <c r="Q83" s="42"/>
      <c r="R83" s="42"/>
      <c r="S83" s="42"/>
      <c r="T83" s="42"/>
      <c r="U83" s="42"/>
      <c r="V83" s="42"/>
      <c r="W83" s="42"/>
      <c r="X83" s="42"/>
      <c r="Y83" s="42"/>
      <c r="Z83" s="42"/>
      <c r="AA83" s="42"/>
    </row>
    <row r="84" spans="2:27" ht="3.75" customHeight="1">
      <c r="B84" s="3"/>
      <c r="C84" s="3"/>
      <c r="D84" s="3"/>
      <c r="E84" s="3"/>
      <c r="F84" s="3"/>
      <c r="G84" s="3"/>
      <c r="H84" s="3"/>
      <c r="I84" s="3"/>
      <c r="J84" s="42"/>
      <c r="K84" s="42"/>
      <c r="L84" s="42"/>
      <c r="M84" s="42"/>
      <c r="N84" s="42"/>
      <c r="O84" s="42"/>
      <c r="P84" s="42"/>
      <c r="Q84" s="42"/>
      <c r="R84" s="42"/>
      <c r="S84" s="42"/>
      <c r="T84" s="42"/>
      <c r="U84" s="42"/>
      <c r="V84" s="42"/>
      <c r="W84" s="42"/>
      <c r="X84" s="42"/>
      <c r="Y84" s="42"/>
      <c r="Z84" s="42"/>
      <c r="AA84" s="42"/>
    </row>
    <row r="85" spans="2:27">
      <c r="B85" s="171"/>
      <c r="C85" s="172" t="s">
        <v>448</v>
      </c>
      <c r="D85" s="289"/>
      <c r="E85" s="396"/>
      <c r="F85" s="396"/>
      <c r="G85" s="396"/>
      <c r="H85" s="396"/>
      <c r="I85" s="396"/>
      <c r="J85" s="42"/>
      <c r="K85" s="42"/>
      <c r="L85" s="42"/>
      <c r="M85" s="42"/>
      <c r="N85" s="42"/>
      <c r="O85" s="42"/>
      <c r="P85" s="42"/>
      <c r="Q85" s="42"/>
      <c r="R85" s="42"/>
      <c r="S85" s="42"/>
      <c r="T85" s="42"/>
      <c r="U85" s="42"/>
      <c r="V85" s="42"/>
      <c r="W85" s="42"/>
      <c r="X85" s="42"/>
      <c r="Y85" s="42"/>
      <c r="Z85" s="42"/>
      <c r="AA85" s="42"/>
    </row>
    <row r="86" spans="2:27">
      <c r="B86" s="87" t="s">
        <v>2</v>
      </c>
      <c r="C86" s="88" t="s">
        <v>449</v>
      </c>
      <c r="D86" s="177"/>
      <c r="E86" s="99">
        <f>IFERROR(ROUND(E34*(1+E93/E92),2)/E5,"")</f>
        <v>1.5944719999999999</v>
      </c>
      <c r="F86" s="99" t="str">
        <f>IFERROR(ROUND(F34*(1+F93/F92),2)/F5,"")</f>
        <v/>
      </c>
      <c r="G86" s="99" t="str">
        <f>IFERROR(ROUND(G34*(1+G93/G92),2)/G5,"")</f>
        <v/>
      </c>
      <c r="H86" s="99" t="str">
        <f>IFERROR(ROUND(H34*(1+H93/H92),2)/H5,"")</f>
        <v/>
      </c>
      <c r="I86" s="99" t="str">
        <f>IFERROR(ROUND(I34*(1+I93/I92),2)/I5,"")</f>
        <v/>
      </c>
      <c r="J86" s="42"/>
      <c r="K86" s="42"/>
      <c r="L86" s="42"/>
      <c r="M86" s="42"/>
      <c r="N86" s="42"/>
      <c r="O86" s="42"/>
      <c r="P86" s="42"/>
      <c r="Q86" s="42"/>
      <c r="R86" s="42"/>
      <c r="S86" s="42"/>
      <c r="T86" s="42"/>
      <c r="U86" s="42"/>
      <c r="V86" s="42"/>
      <c r="W86" s="42"/>
      <c r="X86" s="42"/>
      <c r="Y86" s="42"/>
      <c r="Z86" s="42"/>
      <c r="AA86" s="42"/>
    </row>
    <row r="87" spans="2:27">
      <c r="B87" s="801" t="s">
        <v>1</v>
      </c>
      <c r="C87" s="160" t="s">
        <v>375</v>
      </c>
      <c r="D87" s="414"/>
      <c r="E87" s="148"/>
      <c r="F87" s="148"/>
      <c r="G87" s="148"/>
      <c r="H87" s="148"/>
      <c r="I87" s="148"/>
      <c r="J87" s="42"/>
      <c r="K87" s="42"/>
      <c r="L87" s="42"/>
      <c r="M87" s="42"/>
      <c r="N87" s="42"/>
      <c r="O87" s="42"/>
      <c r="P87" s="42"/>
      <c r="Q87" s="42"/>
      <c r="R87" s="42"/>
      <c r="S87" s="42"/>
      <c r="T87" s="42"/>
      <c r="U87" s="42"/>
      <c r="V87" s="42"/>
      <c r="W87" s="42"/>
      <c r="X87" s="42"/>
      <c r="Y87" s="42"/>
      <c r="Z87" s="42"/>
      <c r="AA87" s="42"/>
    </row>
    <row r="88" spans="2:27">
      <c r="B88" s="802"/>
      <c r="C88" s="338" t="s">
        <v>450</v>
      </c>
      <c r="D88" s="438"/>
      <c r="E88" s="460">
        <f>IF(E3="","",IFERROR(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200</v>
      </c>
      <c r="F88" s="460" t="str">
        <f>IF(F3="","",IFERROR(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G88" s="460" t="str">
        <f>IF(G3="","",IFERROR(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H88" s="460" t="str">
        <f>IF(H3="","",IFERROR(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I88" s="460" t="str">
        <f>IF(I3="","",IFERROR(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J88" s="42"/>
      <c r="K88" s="42"/>
      <c r="L88" s="42"/>
      <c r="M88" s="42"/>
      <c r="N88" s="42"/>
      <c r="O88" s="42"/>
      <c r="P88" s="42"/>
      <c r="Q88" s="42"/>
      <c r="R88" s="42"/>
      <c r="S88" s="42"/>
      <c r="T88" s="42"/>
      <c r="U88" s="42"/>
      <c r="V88" s="42"/>
      <c r="W88" s="42"/>
      <c r="X88" s="42"/>
      <c r="Y88" s="42"/>
      <c r="Z88" s="42"/>
      <c r="AA88" s="42"/>
    </row>
    <row r="89" spans="2:27">
      <c r="B89" s="803"/>
      <c r="C89" s="306"/>
      <c r="D89" s="458" t="s">
        <v>41</v>
      </c>
      <c r="E89" s="459">
        <f>IFERROR(ROUND(SUM(E52,E63)*(1+E93/E92),2)/E88,"")</f>
        <v>24.831750000000003</v>
      </c>
      <c r="F89" s="459" t="str">
        <f t="shared" ref="F89:I89" si="9">IFERROR(ROUND(SUM(F52,F63)*(1+F93/F92),2)/F88,"")</f>
        <v/>
      </c>
      <c r="G89" s="459" t="str">
        <f t="shared" si="9"/>
        <v/>
      </c>
      <c r="H89" s="459" t="str">
        <f t="shared" si="9"/>
        <v/>
      </c>
      <c r="I89" s="459" t="str">
        <f t="shared" si="9"/>
        <v/>
      </c>
      <c r="J89" s="42"/>
      <c r="K89" s="42"/>
      <c r="L89" s="42"/>
      <c r="M89" s="42"/>
      <c r="N89" s="42"/>
      <c r="O89" s="42"/>
      <c r="P89" s="42"/>
      <c r="Q89" s="42"/>
      <c r="R89" s="42"/>
      <c r="S89" s="42"/>
      <c r="T89" s="42"/>
      <c r="U89" s="42"/>
      <c r="V89" s="42"/>
      <c r="W89" s="42"/>
      <c r="X89" s="42"/>
      <c r="Y89" s="42"/>
      <c r="Z89" s="42"/>
      <c r="AA89" s="42"/>
    </row>
    <row r="90" spans="2:27" ht="3.75" customHeight="1">
      <c r="B90" s="3"/>
      <c r="C90" s="3"/>
      <c r="D90" s="3"/>
      <c r="E90" s="3"/>
      <c r="F90" s="3"/>
      <c r="G90" s="3"/>
      <c r="H90" s="3"/>
      <c r="I90" s="3"/>
      <c r="J90" s="42"/>
      <c r="K90" s="42"/>
      <c r="L90" s="42"/>
      <c r="M90" s="42"/>
      <c r="N90" s="42"/>
      <c r="O90" s="42"/>
      <c r="P90" s="42"/>
      <c r="Q90" s="42"/>
      <c r="R90" s="42"/>
      <c r="S90" s="42"/>
      <c r="T90" s="42"/>
      <c r="U90" s="42"/>
      <c r="V90" s="42"/>
      <c r="W90" s="42"/>
      <c r="X90" s="42"/>
      <c r="Y90" s="42"/>
      <c r="Z90" s="42"/>
      <c r="AA90" s="42"/>
    </row>
    <row r="91" spans="2:27">
      <c r="B91" s="171"/>
      <c r="C91" s="172" t="s">
        <v>421</v>
      </c>
      <c r="D91" s="289"/>
      <c r="E91" s="396"/>
      <c r="F91" s="396"/>
      <c r="G91" s="396"/>
      <c r="H91" s="396"/>
      <c r="I91" s="396"/>
      <c r="J91" s="42"/>
      <c r="K91" s="42"/>
      <c r="L91" s="42"/>
      <c r="M91" s="42"/>
      <c r="N91" s="42"/>
      <c r="O91" s="42"/>
      <c r="P91" s="42"/>
      <c r="Q91" s="42"/>
      <c r="R91" s="42"/>
      <c r="S91" s="42"/>
      <c r="T91" s="42"/>
      <c r="U91" s="42"/>
      <c r="V91" s="42"/>
      <c r="W91" s="42"/>
      <c r="X91" s="42"/>
      <c r="Y91" s="42"/>
      <c r="Z91" s="42"/>
      <c r="AA91" s="42"/>
    </row>
    <row r="92" spans="2:27">
      <c r="B92" s="87" t="s">
        <v>2</v>
      </c>
      <c r="C92" s="88" t="s">
        <v>422</v>
      </c>
      <c r="D92" s="177"/>
      <c r="E92" s="99">
        <f>IF(E3="","",ROUND(SUM(E63,E52,E34),2))</f>
        <v>7080.64</v>
      </c>
      <c r="F92" s="99" t="str">
        <f>IF(F3="","",ROUND(SUM(F63,F52,F34),2))</f>
        <v/>
      </c>
      <c r="G92" s="99" t="str">
        <f>IF(G3="","",ROUND(SUM(G63,G52,G34),2))</f>
        <v/>
      </c>
      <c r="H92" s="99" t="str">
        <f>IF(H3="","",ROUND(SUM(H63,H52,H34),2))</f>
        <v/>
      </c>
      <c r="I92" s="99" t="str">
        <f>IF(I3="","",ROUND(SUM(I63,I52,I34),2))</f>
        <v/>
      </c>
      <c r="J92" s="42"/>
      <c r="K92" s="42"/>
      <c r="L92" s="42"/>
      <c r="M92" s="42"/>
      <c r="N92" s="42"/>
      <c r="O92" s="42"/>
      <c r="P92" s="42"/>
      <c r="Q92" s="42"/>
      <c r="R92" s="42"/>
      <c r="S92" s="42"/>
      <c r="T92" s="42"/>
      <c r="U92" s="42"/>
      <c r="V92" s="42"/>
      <c r="W92" s="42"/>
      <c r="X92" s="42"/>
      <c r="Y92" s="42"/>
      <c r="Z92" s="42"/>
      <c r="AA92" s="42"/>
    </row>
    <row r="93" spans="2:27">
      <c r="B93" s="87" t="s">
        <v>1</v>
      </c>
      <c r="C93" s="88" t="s">
        <v>377</v>
      </c>
      <c r="D93" s="177"/>
      <c r="E93" s="99">
        <f>IFERROR(ROUND(E81,2),"")</f>
        <v>1871.9</v>
      </c>
      <c r="F93" s="99" t="str">
        <f t="shared" ref="F93:I93" si="10">IFERROR(ROUND(F81,2),"")</f>
        <v/>
      </c>
      <c r="G93" s="99" t="str">
        <f t="shared" si="10"/>
        <v/>
      </c>
      <c r="H93" s="99" t="str">
        <f t="shared" si="10"/>
        <v/>
      </c>
      <c r="I93" s="99" t="str">
        <f t="shared" si="10"/>
        <v/>
      </c>
      <c r="J93" s="42"/>
      <c r="K93" s="42"/>
      <c r="L93" s="42"/>
      <c r="M93" s="42"/>
      <c r="N93" s="42"/>
      <c r="O93" s="42"/>
      <c r="P93" s="42"/>
      <c r="Q93" s="42"/>
      <c r="R93" s="42"/>
      <c r="S93" s="42"/>
      <c r="T93" s="42"/>
      <c r="U93" s="42"/>
      <c r="V93" s="42"/>
      <c r="W93" s="42"/>
      <c r="X93" s="42"/>
      <c r="Y93" s="42"/>
      <c r="Z93" s="42"/>
      <c r="AA93" s="42"/>
    </row>
    <row r="94" spans="2:27">
      <c r="B94" s="87" t="s">
        <v>0</v>
      </c>
      <c r="C94" s="88" t="s">
        <v>378</v>
      </c>
      <c r="D94" s="177"/>
      <c r="E94" s="99">
        <f>IF(E3="","",IFERROR(SUM(E92:E93),2))</f>
        <v>8952.5400000000009</v>
      </c>
      <c r="F94" s="99" t="str">
        <f>IF(F3="","",IFERROR(SUM(F92:F93),2))</f>
        <v/>
      </c>
      <c r="G94" s="99" t="str">
        <f>IF(G3="","",IFERROR(SUM(G92:G93),2))</f>
        <v/>
      </c>
      <c r="H94" s="99" t="str">
        <f>IF(H3="","",IFERROR(SUM(H92:H93),2))</f>
        <v/>
      </c>
      <c r="I94" s="99" t="str">
        <f>IF(I3="","",IFERROR(SUM(I92:I93),2))</f>
        <v/>
      </c>
      <c r="J94" s="42"/>
      <c r="K94" s="42"/>
      <c r="L94" s="42"/>
      <c r="M94" s="42"/>
      <c r="N94" s="42"/>
      <c r="O94" s="42"/>
      <c r="P94" s="42"/>
      <c r="Q94" s="42"/>
      <c r="R94" s="42"/>
      <c r="S94" s="42"/>
      <c r="T94" s="42"/>
      <c r="U94" s="42"/>
      <c r="V94" s="42"/>
      <c r="W94" s="42"/>
      <c r="X94" s="42"/>
      <c r="Y94" s="42"/>
      <c r="Z94" s="42"/>
      <c r="AA94" s="42"/>
    </row>
    <row r="95" spans="2:27" ht="3.75" customHeight="1">
      <c r="B95" s="3"/>
      <c r="C95" s="3"/>
      <c r="D95" s="3"/>
      <c r="E95" s="3"/>
      <c r="F95" s="3"/>
      <c r="G95" s="3"/>
      <c r="H95" s="3"/>
      <c r="I95" s="3"/>
      <c r="J95" s="42"/>
      <c r="K95" s="42"/>
      <c r="L95" s="42"/>
      <c r="M95" s="42"/>
      <c r="N95" s="42"/>
      <c r="O95" s="42"/>
      <c r="P95" s="42"/>
      <c r="Q95" s="42"/>
      <c r="R95" s="42"/>
      <c r="S95" s="42"/>
      <c r="T95" s="42"/>
      <c r="U95" s="42"/>
      <c r="V95" s="42"/>
      <c r="W95" s="42"/>
      <c r="X95" s="42"/>
      <c r="Y95" s="42"/>
      <c r="Z95" s="42"/>
      <c r="AA95" s="42"/>
    </row>
    <row r="96" spans="2:27">
      <c r="B96" s="171"/>
      <c r="C96" s="172" t="s">
        <v>420</v>
      </c>
      <c r="D96" s="289"/>
      <c r="E96" s="396"/>
      <c r="F96" s="396"/>
      <c r="G96" s="396"/>
      <c r="H96" s="396"/>
      <c r="I96" s="396"/>
      <c r="J96" s="42"/>
      <c r="K96" s="42"/>
      <c r="L96" s="42"/>
      <c r="M96" s="42"/>
      <c r="N96" s="42"/>
      <c r="O96" s="42"/>
      <c r="P96" s="42"/>
      <c r="Q96" s="42"/>
      <c r="R96" s="42"/>
      <c r="S96" s="42"/>
      <c r="T96" s="42"/>
      <c r="U96" s="42"/>
      <c r="V96" s="42"/>
      <c r="W96" s="42"/>
      <c r="X96" s="42"/>
      <c r="Y96" s="42"/>
      <c r="Z96" s="42"/>
      <c r="AA96" s="42"/>
    </row>
    <row r="97" spans="2:27">
      <c r="B97" s="87" t="s">
        <v>2</v>
      </c>
      <c r="C97" s="88" t="s">
        <v>422</v>
      </c>
      <c r="D97" s="177"/>
      <c r="E97" s="99">
        <f>IF(E$3="","",ROUND(E92*E$4,2))</f>
        <v>7080.64</v>
      </c>
      <c r="F97" s="99" t="str">
        <f t="shared" ref="F97:I97" si="11">IF(F$3="","",ROUND(F92*F$4,2))</f>
        <v/>
      </c>
      <c r="G97" s="99" t="str">
        <f t="shared" si="11"/>
        <v/>
      </c>
      <c r="H97" s="99" t="str">
        <f t="shared" si="11"/>
        <v/>
      </c>
      <c r="I97" s="99" t="str">
        <f t="shared" si="11"/>
        <v/>
      </c>
      <c r="J97" s="42"/>
      <c r="K97" s="42"/>
      <c r="L97" s="42"/>
      <c r="M97" s="42"/>
      <c r="N97" s="42"/>
      <c r="O97" s="42"/>
      <c r="P97" s="42"/>
      <c r="Q97" s="42"/>
      <c r="R97" s="42"/>
      <c r="S97" s="42"/>
      <c r="T97" s="42"/>
      <c r="U97" s="42"/>
      <c r="V97" s="42"/>
      <c r="W97" s="42"/>
      <c r="X97" s="42"/>
      <c r="Y97" s="42"/>
      <c r="Z97" s="42"/>
      <c r="AA97" s="42"/>
    </row>
    <row r="98" spans="2:27">
      <c r="B98" s="87" t="s">
        <v>1</v>
      </c>
      <c r="C98" s="88" t="s">
        <v>377</v>
      </c>
      <c r="D98" s="177"/>
      <c r="E98" s="99">
        <f>IF(E$3="","",ROUND(E93*E$4,2))</f>
        <v>1871.9</v>
      </c>
      <c r="F98" s="99" t="str">
        <f t="shared" ref="F98:I98" si="12">IF(F$3="","",ROUND(F93*F$4,2))</f>
        <v/>
      </c>
      <c r="G98" s="99" t="str">
        <f t="shared" si="12"/>
        <v/>
      </c>
      <c r="H98" s="99" t="str">
        <f t="shared" si="12"/>
        <v/>
      </c>
      <c r="I98" s="99" t="str">
        <f t="shared" si="12"/>
        <v/>
      </c>
      <c r="J98" s="42"/>
      <c r="K98" s="42"/>
      <c r="L98" s="42"/>
      <c r="M98" s="42"/>
      <c r="N98" s="42"/>
      <c r="O98" s="42"/>
      <c r="P98" s="42"/>
      <c r="Q98" s="42"/>
      <c r="R98" s="42"/>
      <c r="S98" s="42"/>
      <c r="T98" s="42"/>
      <c r="U98" s="42"/>
      <c r="V98" s="42"/>
      <c r="W98" s="42"/>
      <c r="X98" s="42"/>
      <c r="Y98" s="42"/>
      <c r="Z98" s="42"/>
      <c r="AA98" s="42"/>
    </row>
    <row r="99" spans="2:27">
      <c r="B99" s="87" t="s">
        <v>0</v>
      </c>
      <c r="C99" s="88" t="s">
        <v>378</v>
      </c>
      <c r="D99" s="177"/>
      <c r="E99" s="99">
        <f>IF(E$3="","",ROUND(E94*E$4,2))</f>
        <v>8952.5400000000009</v>
      </c>
      <c r="F99" s="99" t="str">
        <f t="shared" ref="F99:I99" si="13">IF(F$3="","",ROUND(F94*F$4,2))</f>
        <v/>
      </c>
      <c r="G99" s="99" t="str">
        <f t="shared" si="13"/>
        <v/>
      </c>
      <c r="H99" s="99" t="str">
        <f t="shared" si="13"/>
        <v/>
      </c>
      <c r="I99" s="99" t="str">
        <f t="shared" si="13"/>
        <v/>
      </c>
      <c r="J99" s="42"/>
      <c r="K99" s="42"/>
      <c r="L99" s="42"/>
      <c r="M99" s="42"/>
      <c r="N99" s="42"/>
      <c r="O99" s="42"/>
      <c r="P99" s="42"/>
      <c r="Q99" s="42"/>
      <c r="R99" s="42"/>
      <c r="S99" s="42"/>
      <c r="T99" s="42"/>
      <c r="U99" s="42"/>
      <c r="V99" s="42"/>
      <c r="W99" s="42"/>
      <c r="X99" s="42"/>
      <c r="Y99" s="42"/>
      <c r="Z99" s="42"/>
      <c r="AA99" s="42"/>
    </row>
    <row r="100" spans="2:27">
      <c r="B100" s="87" t="s">
        <v>3</v>
      </c>
      <c r="C100" s="88" t="s">
        <v>381</v>
      </c>
      <c r="D100" s="177"/>
      <c r="E100" s="99">
        <f>IF(E3="","",IFERROR(ROUND(E99*Proposta!$J$6,2),""))</f>
        <v>107430.48</v>
      </c>
      <c r="F100" s="99" t="str">
        <f>IF(F3="","",IFERROR(ROUND(F99*Proposta!$J$6,2),""))</f>
        <v/>
      </c>
      <c r="G100" s="99" t="str">
        <f>IF(G3="","",IFERROR(ROUND(G99*Proposta!$J$6,2),""))</f>
        <v/>
      </c>
      <c r="H100" s="99" t="str">
        <f>IF(H3="","",IFERROR(ROUND(H99*Proposta!$J$6,2),""))</f>
        <v/>
      </c>
      <c r="I100" s="99" t="str">
        <f>IF(I3="","",IFERROR(ROUND(I99*Proposta!$J$6,2),""))</f>
        <v/>
      </c>
      <c r="J100" s="42"/>
      <c r="K100" s="42"/>
      <c r="L100" s="42"/>
      <c r="M100" s="42"/>
      <c r="N100" s="42"/>
      <c r="O100" s="42"/>
      <c r="P100" s="42"/>
      <c r="Q100" s="42"/>
      <c r="R100" s="42"/>
      <c r="S100" s="42"/>
      <c r="T100" s="42"/>
      <c r="U100" s="42"/>
      <c r="V100" s="42"/>
      <c r="W100" s="42"/>
      <c r="X100" s="42"/>
      <c r="Y100" s="42"/>
      <c r="Z100" s="42"/>
      <c r="AA100" s="42"/>
    </row>
  </sheetData>
  <sheetProtection algorithmName="SHA-512" hashValue="XreL/yKOyvdUNejW0xoqRkKw3jDEcd+WqRloJ4Iw51bG7jdUPuh4KCYKhm6WKcU1enFvTLel0awFabBst5KTbQ==" saltValue="USobLcUi9uom4fMLCzKPNA==" spinCount="100000" sheet="1" formatColumns="0"/>
  <mergeCells count="12">
    <mergeCell ref="B8:B12"/>
    <mergeCell ref="B18:B21"/>
    <mergeCell ref="B13:B17"/>
    <mergeCell ref="B22:B26"/>
    <mergeCell ref="B87:B89"/>
    <mergeCell ref="B75:B77"/>
    <mergeCell ref="B47:B51"/>
    <mergeCell ref="B55:B58"/>
    <mergeCell ref="B27:B33"/>
    <mergeCell ref="B59:B62"/>
    <mergeCell ref="B39:B42"/>
    <mergeCell ref="B43:B46"/>
  </mergeCells>
  <dataValidations count="2">
    <dataValidation type="list" allowBlank="1" showInputMessage="1" showErrorMessage="1" sqref="E10:I10">
      <formula1>"Etanol,Gasolina,Diesel,Elétrico"</formula1>
    </dataValidation>
    <dataValidation showInputMessage="1" sqref="D77 D58:D60 D89 D62"/>
  </dataValidations>
  <pageMargins left="0.511811024" right="0.511811024" top="0.78740157499999996" bottom="0.78740157499999996" header="0.31496062000000002" footer="0.31496062000000002"/>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pageSetUpPr fitToPage="1"/>
  </sheetPr>
  <dimension ref="A1:BB224"/>
  <sheetViews>
    <sheetView showGridLines="0" zoomScaleNormal="100" workbookViewId="0">
      <selection activeCell="D5" sqref="D5:E5"/>
    </sheetView>
  </sheetViews>
  <sheetFormatPr defaultColWidth="9.140625" defaultRowHeight="15"/>
  <cols>
    <col min="1" max="1" width="2.140625" style="1" customWidth="1"/>
    <col min="2" max="2" width="4.28515625" style="83" customWidth="1"/>
    <col min="3" max="3" width="59" style="9" customWidth="1"/>
    <col min="4" max="4" width="17.140625" style="10" customWidth="1"/>
    <col min="5" max="5" width="17.140625" style="9" customWidth="1"/>
    <col min="6" max="7" width="17.140625" style="1" customWidth="1"/>
    <col min="8" max="8" width="15.5703125" style="1" bestFit="1" customWidth="1"/>
    <col min="9" max="9" width="7.42578125" style="1" customWidth="1"/>
    <col min="10" max="10" width="2.140625" style="292" customWidth="1"/>
    <col min="11" max="11" width="12" style="292" customWidth="1"/>
    <col min="12" max="12" width="15.140625" style="292" bestFit="1" customWidth="1"/>
    <col min="13" max="13" width="16" style="292" customWidth="1"/>
    <col min="14" max="14" width="15.140625" style="292" customWidth="1"/>
    <col min="15" max="15" width="15.7109375" style="292" bestFit="1" customWidth="1"/>
    <col min="16" max="16" width="9.140625" style="292"/>
    <col min="17" max="17" width="12.42578125" style="292" bestFit="1" customWidth="1"/>
    <col min="18" max="18" width="12.85546875" style="292" customWidth="1"/>
    <col min="19" max="53" width="9.140625" style="292"/>
    <col min="54" max="16384" width="9.140625" style="1"/>
  </cols>
  <sheetData>
    <row r="1" spans="1:53" customFormat="1" ht="11.25" customHeight="1">
      <c r="A1" s="47"/>
      <c r="B1" s="82"/>
      <c r="C1" s="48"/>
      <c r="D1" s="48"/>
      <c r="E1" s="48"/>
      <c r="F1" s="48"/>
      <c r="G1" s="48"/>
      <c r="H1" s="48"/>
      <c r="I1" s="49"/>
      <c r="J1" s="42"/>
      <c r="K1" s="42"/>
      <c r="L1" s="42"/>
      <c r="M1" s="42"/>
      <c r="N1" s="42"/>
      <c r="O1" s="42"/>
      <c r="P1" s="42"/>
      <c r="Q1" s="42"/>
      <c r="R1" s="42"/>
      <c r="S1" s="42"/>
      <c r="T1" s="42"/>
      <c r="U1" s="42"/>
      <c r="V1" s="42"/>
      <c r="W1" s="42"/>
      <c r="X1" s="42"/>
      <c r="Y1" s="42"/>
      <c r="Z1" s="42"/>
      <c r="AA1" s="42"/>
      <c r="AB1" s="42"/>
      <c r="AC1" s="42"/>
      <c r="AD1" s="42"/>
      <c r="AE1" s="42"/>
      <c r="AF1" s="42"/>
      <c r="AG1" s="42"/>
      <c r="AH1" s="42"/>
      <c r="AI1" s="42"/>
      <c r="AJ1" s="42"/>
      <c r="AK1" s="42"/>
      <c r="AL1" s="42"/>
      <c r="AM1" s="42"/>
      <c r="AN1" s="42"/>
      <c r="AO1" s="42"/>
      <c r="AP1" s="42"/>
      <c r="AQ1" s="42"/>
      <c r="AR1" s="42"/>
      <c r="AS1" s="42"/>
      <c r="AT1" s="42"/>
      <c r="AU1" s="42"/>
      <c r="AV1" s="42"/>
      <c r="AW1" s="42"/>
      <c r="AX1" s="42"/>
      <c r="AY1" s="42"/>
      <c r="AZ1" s="42"/>
      <c r="BA1" s="42"/>
    </row>
    <row r="2" spans="1:53" customFormat="1" ht="57" customHeight="1">
      <c r="A2" s="815" t="str">
        <f>CONCATENATE("PREFEITURA MUNICIPAL DE PORTO ALEGRE
",D5,"
FORMAÇÃO DE PREÇOS DE REFERÊNCIA - CESSÃO DE MÃO DE OBRA")</f>
        <v>PREFEITURA MUNICIPAL DE PORTO ALEGRE
FORMAÇÃO DE PREÇOS DE REFERÊNCIA - CESSÃO DE MÃO DE OBRA</v>
      </c>
      <c r="B2" s="816"/>
      <c r="C2" s="816"/>
      <c r="D2" s="816"/>
      <c r="E2" s="816"/>
      <c r="F2" s="816"/>
      <c r="G2" s="816"/>
      <c r="H2" s="816"/>
      <c r="I2" s="817"/>
      <c r="J2" s="42"/>
      <c r="K2" s="42"/>
      <c r="L2" s="42"/>
      <c r="M2" s="42"/>
      <c r="N2" s="42"/>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row>
    <row r="3" spans="1:53" customFormat="1" ht="18.75" customHeight="1">
      <c r="A3" s="22"/>
      <c r="B3" s="12"/>
      <c r="C3" s="23"/>
      <c r="D3" s="23"/>
      <c r="E3" s="23"/>
      <c r="F3" s="23"/>
      <c r="G3" s="23"/>
      <c r="H3" s="23"/>
      <c r="I3" s="23"/>
      <c r="J3" s="42"/>
      <c r="K3" s="42"/>
      <c r="L3" s="42"/>
      <c r="M3" s="42"/>
      <c r="N3" s="42"/>
      <c r="O3" s="42"/>
      <c r="P3" s="42"/>
      <c r="Q3" s="42"/>
      <c r="R3" s="42"/>
      <c r="S3" s="42"/>
      <c r="T3" s="42"/>
      <c r="U3" s="42"/>
      <c r="V3" s="42"/>
      <c r="W3" s="42"/>
      <c r="X3" s="42"/>
      <c r="Y3" s="42"/>
      <c r="Z3" s="42"/>
      <c r="AA3" s="42"/>
      <c r="AB3" s="42"/>
      <c r="AC3" s="42"/>
      <c r="AD3" s="42"/>
      <c r="AE3" s="42"/>
      <c r="AF3" s="42"/>
      <c r="AG3" s="42"/>
      <c r="AH3" s="42"/>
      <c r="AI3" s="42"/>
      <c r="AJ3" s="42"/>
      <c r="AK3" s="42"/>
      <c r="AL3" s="42"/>
      <c r="AM3" s="42"/>
      <c r="AN3" s="42"/>
      <c r="AO3" s="42"/>
      <c r="AP3" s="42"/>
      <c r="AQ3" s="42"/>
      <c r="AR3" s="42"/>
      <c r="AS3" s="42"/>
      <c r="AT3" s="42"/>
      <c r="AU3" s="42"/>
      <c r="AV3" s="42"/>
      <c r="AW3" s="42"/>
      <c r="AX3" s="42"/>
      <c r="AY3" s="42"/>
      <c r="AZ3" s="42"/>
      <c r="BA3" s="42"/>
    </row>
    <row r="4" spans="1:53" customFormat="1" ht="15" customHeight="1">
      <c r="A4" s="1"/>
      <c r="B4" s="89"/>
      <c r="C4" s="90" t="s">
        <v>180</v>
      </c>
      <c r="D4" s="126"/>
      <c r="E4" s="118"/>
      <c r="G4" s="11"/>
      <c r="H4" s="11"/>
      <c r="I4" s="1"/>
      <c r="J4" s="42"/>
      <c r="K4" s="42"/>
      <c r="L4" s="42"/>
      <c r="M4" s="42"/>
      <c r="N4" s="42"/>
      <c r="O4" s="42"/>
      <c r="P4" s="42"/>
      <c r="Q4" s="42"/>
      <c r="R4" s="42"/>
      <c r="S4" s="42"/>
      <c r="T4" s="42"/>
      <c r="U4" s="42"/>
      <c r="V4" s="42"/>
      <c r="W4" s="42"/>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c r="AY4" s="42"/>
      <c r="AZ4" s="42"/>
      <c r="BA4" s="42"/>
    </row>
    <row r="5" spans="1:53" customFormat="1" ht="15.75" customHeight="1">
      <c r="A5" s="1"/>
      <c r="B5" s="116" t="s">
        <v>2</v>
      </c>
      <c r="C5" s="117" t="s">
        <v>247</v>
      </c>
      <c r="D5" s="819"/>
      <c r="E5" s="819"/>
      <c r="F5" s="1"/>
      <c r="G5" s="49"/>
      <c r="H5" s="50">
        <v>3</v>
      </c>
      <c r="I5" s="1"/>
      <c r="J5" s="42"/>
      <c r="K5" s="42"/>
      <c r="L5" s="292"/>
      <c r="M5" s="292"/>
      <c r="N5" s="42"/>
      <c r="O5" s="42"/>
      <c r="P5" s="42"/>
      <c r="Q5" s="42"/>
      <c r="R5" s="42"/>
      <c r="S5" s="42"/>
      <c r="T5" s="42"/>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row>
    <row r="6" spans="1:53" customFormat="1">
      <c r="A6" s="1"/>
      <c r="B6" s="115" t="s">
        <v>1</v>
      </c>
      <c r="C6" s="117" t="s">
        <v>183</v>
      </c>
      <c r="D6" s="820"/>
      <c r="E6" s="820"/>
      <c r="F6" s="1"/>
      <c r="G6" s="22"/>
      <c r="H6" s="69"/>
      <c r="I6" s="1"/>
      <c r="J6" s="42"/>
      <c r="K6" s="42"/>
      <c r="L6" s="292"/>
      <c r="M6" s="292"/>
      <c r="N6" s="42"/>
      <c r="O6" s="42"/>
      <c r="P6" s="42"/>
      <c r="Q6" s="42"/>
      <c r="R6" s="42"/>
      <c r="S6" s="42"/>
      <c r="T6" s="42"/>
      <c r="U6" s="42"/>
      <c r="V6" s="42"/>
      <c r="W6" s="42"/>
      <c r="X6" s="42"/>
      <c r="Y6" s="42"/>
      <c r="Z6" s="42"/>
      <c r="AA6" s="42"/>
      <c r="AB6" s="42"/>
      <c r="AC6" s="42"/>
      <c r="AD6" s="42"/>
      <c r="AE6" s="42"/>
      <c r="AF6" s="42"/>
      <c r="AG6" s="42"/>
      <c r="AH6" s="42"/>
      <c r="AI6" s="42"/>
      <c r="AJ6" s="42"/>
      <c r="AK6" s="42"/>
      <c r="AL6" s="42"/>
      <c r="AM6" s="42"/>
      <c r="AN6" s="42"/>
      <c r="AO6" s="42"/>
      <c r="AP6" s="42"/>
      <c r="AQ6" s="42"/>
      <c r="AR6" s="42"/>
      <c r="AS6" s="42"/>
      <c r="AT6" s="42"/>
      <c r="AU6" s="42"/>
      <c r="AV6" s="42"/>
      <c r="AW6" s="42"/>
      <c r="AX6" s="42"/>
      <c r="AY6" s="42"/>
      <c r="AZ6" s="42"/>
      <c r="BA6" s="42"/>
    </row>
    <row r="7" spans="1:53" customFormat="1">
      <c r="A7" s="1"/>
      <c r="B7" s="116" t="s">
        <v>0</v>
      </c>
      <c r="C7" s="117" t="s">
        <v>182</v>
      </c>
      <c r="D7" s="820"/>
      <c r="E7" s="820"/>
      <c r="F7" s="1"/>
      <c r="G7" s="22"/>
      <c r="H7" s="69"/>
      <c r="I7" s="1"/>
      <c r="J7" s="42"/>
      <c r="K7" s="42"/>
      <c r="L7" s="292"/>
      <c r="M7" s="292"/>
      <c r="N7" s="42"/>
      <c r="O7" s="42"/>
      <c r="P7" s="42"/>
      <c r="Q7" s="42"/>
      <c r="R7" s="42"/>
      <c r="S7" s="42"/>
      <c r="T7" s="42"/>
      <c r="U7" s="42"/>
      <c r="V7" s="42"/>
      <c r="W7" s="42"/>
      <c r="X7" s="42"/>
      <c r="Y7" s="42"/>
      <c r="Z7" s="42"/>
      <c r="AA7" s="42"/>
      <c r="AB7" s="42"/>
      <c r="AC7" s="42"/>
      <c r="AD7" s="42"/>
      <c r="AE7" s="42"/>
      <c r="AF7" s="42"/>
      <c r="AG7" s="42"/>
      <c r="AH7" s="42"/>
      <c r="AI7" s="42"/>
      <c r="AJ7" s="42"/>
      <c r="AK7" s="42"/>
      <c r="AL7" s="42"/>
      <c r="AM7" s="42"/>
      <c r="AN7" s="42"/>
      <c r="AO7" s="42"/>
      <c r="AP7" s="42"/>
      <c r="AQ7" s="42"/>
      <c r="AR7" s="42"/>
      <c r="AS7" s="42"/>
      <c r="AT7" s="42"/>
      <c r="AU7" s="42"/>
      <c r="AV7" s="42"/>
      <c r="AW7" s="42"/>
      <c r="AX7" s="42"/>
      <c r="AY7" s="42"/>
      <c r="AZ7" s="42"/>
      <c r="BA7" s="42"/>
    </row>
    <row r="8" spans="1:53" customFormat="1">
      <c r="A8" s="1"/>
      <c r="B8" s="115" t="s">
        <v>3</v>
      </c>
      <c r="C8" s="117" t="s">
        <v>181</v>
      </c>
      <c r="D8" s="819"/>
      <c r="E8" s="819"/>
      <c r="F8" s="1"/>
      <c r="G8" s="70"/>
      <c r="H8" s="69"/>
      <c r="I8" s="1"/>
      <c r="J8" s="42"/>
      <c r="K8" s="42"/>
      <c r="L8" s="292"/>
      <c r="M8" s="292"/>
      <c r="N8" s="42"/>
      <c r="O8" s="42"/>
      <c r="P8" s="42"/>
      <c r="Q8" s="42"/>
      <c r="R8" s="42"/>
      <c r="S8" s="42"/>
      <c r="T8" s="42"/>
      <c r="U8" s="42"/>
      <c r="V8" s="42"/>
      <c r="W8" s="42"/>
      <c r="X8" s="42"/>
      <c r="Y8" s="42"/>
      <c r="Z8" s="42"/>
      <c r="AA8" s="42"/>
      <c r="AB8" s="42"/>
      <c r="AC8" s="42"/>
      <c r="AD8" s="42"/>
      <c r="AE8" s="42"/>
      <c r="AF8" s="42"/>
      <c r="AG8" s="42"/>
      <c r="AH8" s="42"/>
      <c r="AI8" s="42"/>
      <c r="AJ8" s="42"/>
      <c r="AK8" s="42"/>
      <c r="AL8" s="42"/>
      <c r="AM8" s="42"/>
      <c r="AN8" s="42"/>
      <c r="AO8" s="42"/>
      <c r="AP8" s="42"/>
      <c r="AQ8" s="42"/>
      <c r="AR8" s="42"/>
      <c r="AS8" s="42"/>
      <c r="AT8" s="42"/>
      <c r="AU8" s="42"/>
      <c r="AV8" s="42"/>
      <c r="AW8" s="42"/>
      <c r="AX8" s="42"/>
      <c r="AY8" s="42"/>
      <c r="AZ8" s="42"/>
      <c r="BA8" s="42"/>
    </row>
    <row r="9" spans="1:53" customFormat="1">
      <c r="B9" s="116" t="s">
        <v>7</v>
      </c>
      <c r="C9" s="117" t="s">
        <v>460</v>
      </c>
      <c r="D9" s="818"/>
      <c r="E9" s="818"/>
      <c r="F9" s="1"/>
      <c r="J9" s="42"/>
      <c r="K9" s="42"/>
      <c r="L9" s="292"/>
      <c r="M9" s="292"/>
      <c r="N9" s="42"/>
      <c r="O9" s="42"/>
      <c r="P9" s="42"/>
      <c r="Q9" s="42"/>
      <c r="R9" s="42"/>
      <c r="S9" s="42"/>
      <c r="T9" s="42"/>
      <c r="U9" s="42"/>
      <c r="V9" s="42"/>
      <c r="W9" s="42"/>
      <c r="X9" s="42"/>
      <c r="Y9" s="42"/>
      <c r="Z9" s="42"/>
      <c r="AA9" s="42"/>
      <c r="AB9" s="42"/>
      <c r="AC9" s="42"/>
      <c r="AD9" s="42"/>
      <c r="AE9" s="42"/>
      <c r="AF9" s="42"/>
      <c r="AG9" s="42"/>
      <c r="AH9" s="42"/>
      <c r="AI9" s="42"/>
      <c r="AJ9" s="42"/>
      <c r="AK9" s="42"/>
      <c r="AL9" s="42"/>
      <c r="AM9" s="42"/>
      <c r="AN9" s="42"/>
      <c r="AO9" s="42"/>
      <c r="AP9" s="42"/>
      <c r="AQ9" s="42"/>
      <c r="AR9" s="42"/>
      <c r="AS9" s="42"/>
      <c r="AT9" s="42"/>
      <c r="AU9" s="42"/>
      <c r="AV9" s="42"/>
      <c r="AW9" s="42"/>
      <c r="AX9" s="42"/>
      <c r="AY9" s="42"/>
      <c r="AZ9" s="42"/>
      <c r="BA9" s="42"/>
    </row>
    <row r="10" spans="1:53" customFormat="1">
      <c r="A10" s="1"/>
      <c r="B10" s="115" t="s">
        <v>6</v>
      </c>
      <c r="C10" s="9" t="s">
        <v>461</v>
      </c>
      <c r="D10" s="796"/>
      <c r="E10" s="796"/>
      <c r="F10" s="1"/>
      <c r="G10" s="1"/>
      <c r="I10" s="1"/>
      <c r="J10" s="42"/>
      <c r="K10" s="42"/>
      <c r="L10" s="292"/>
      <c r="M10" s="292"/>
      <c r="N10" s="42"/>
      <c r="O10" s="42"/>
      <c r="P10" s="42"/>
      <c r="Q10" s="42"/>
      <c r="R10" s="42"/>
      <c r="S10" s="42"/>
      <c r="T10" s="42"/>
      <c r="U10" s="42"/>
      <c r="V10" s="42"/>
      <c r="W10" s="42"/>
      <c r="X10" s="42"/>
      <c r="Y10" s="42"/>
      <c r="Z10" s="42"/>
      <c r="AA10" s="42"/>
      <c r="AB10" s="42"/>
      <c r="AC10" s="42"/>
      <c r="AD10" s="42"/>
      <c r="AE10" s="42"/>
      <c r="AF10" s="42"/>
      <c r="AG10" s="42"/>
      <c r="AH10" s="42"/>
      <c r="AI10" s="42"/>
      <c r="AJ10" s="42"/>
      <c r="AK10" s="42"/>
      <c r="AL10" s="42"/>
      <c r="AM10" s="42"/>
      <c r="AN10" s="42"/>
      <c r="AO10" s="42"/>
      <c r="AP10" s="42"/>
      <c r="AQ10" s="42"/>
      <c r="AR10" s="42"/>
      <c r="AS10" s="42"/>
      <c r="AT10" s="42"/>
      <c r="AU10" s="42"/>
      <c r="AV10" s="42"/>
      <c r="AW10" s="42"/>
      <c r="AX10" s="42"/>
      <c r="AY10" s="42"/>
      <c r="AZ10" s="42"/>
      <c r="BA10" s="42"/>
    </row>
    <row r="11" spans="1:53" customFormat="1">
      <c r="A11" s="1"/>
      <c r="B11" s="115" t="s">
        <v>5</v>
      </c>
      <c r="C11" s="117" t="s">
        <v>444</v>
      </c>
      <c r="D11" s="797"/>
      <c r="E11" s="797"/>
      <c r="F11" s="1"/>
      <c r="G11" s="1"/>
      <c r="I11" s="1"/>
      <c r="J11" s="42"/>
      <c r="K11" s="42"/>
      <c r="L11" s="292"/>
      <c r="M11" s="292"/>
      <c r="N11" s="42"/>
      <c r="O11" s="42"/>
      <c r="P11" s="42"/>
      <c r="Q11" s="42"/>
      <c r="R11" s="42"/>
      <c r="S11" s="42"/>
      <c r="T11" s="42"/>
      <c r="U11" s="42"/>
      <c r="V11" s="42"/>
      <c r="W11" s="42"/>
      <c r="X11" s="42"/>
      <c r="Y11" s="42"/>
      <c r="Z11" s="42"/>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c r="AY11" s="42"/>
      <c r="AZ11" s="42"/>
      <c r="BA11" s="42"/>
    </row>
    <row r="12" spans="1:53" customFormat="1">
      <c r="B12" s="116" t="s">
        <v>4</v>
      </c>
      <c r="C12" s="117" t="s">
        <v>400</v>
      </c>
      <c r="D12" s="808">
        <f>'Mão de Obra'!D12</f>
        <v>12</v>
      </c>
      <c r="E12" s="808"/>
      <c r="F12" s="1"/>
      <c r="G12" s="1"/>
      <c r="J12" s="42"/>
      <c r="K12" s="42"/>
      <c r="L12" s="292"/>
      <c r="M12" s="292"/>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c r="AO12" s="42"/>
      <c r="AP12" s="42"/>
      <c r="AQ12" s="42"/>
      <c r="AR12" s="42"/>
      <c r="AS12" s="42"/>
      <c r="AT12" s="42"/>
      <c r="AU12" s="42"/>
      <c r="AV12" s="42"/>
      <c r="AW12" s="42"/>
      <c r="AX12" s="42"/>
      <c r="AY12" s="42"/>
      <c r="AZ12" s="42"/>
      <c r="BA12" s="42"/>
    </row>
    <row r="13" spans="1:53">
      <c r="B13" s="115" t="s">
        <v>113</v>
      </c>
      <c r="C13" s="117" t="s">
        <v>71</v>
      </c>
      <c r="D13" s="797" t="s">
        <v>59</v>
      </c>
      <c r="E13" s="797"/>
    </row>
    <row r="14" spans="1:53">
      <c r="B14" s="116" t="s">
        <v>140</v>
      </c>
      <c r="C14" s="117" t="s">
        <v>267</v>
      </c>
      <c r="D14" s="809"/>
      <c r="E14" s="809"/>
    </row>
    <row r="15" spans="1:53">
      <c r="B15" s="116" t="s">
        <v>229</v>
      </c>
      <c r="C15" s="117" t="s">
        <v>316</v>
      </c>
      <c r="D15" s="810">
        <f>'Mão de Obra'!D15:E15</f>
        <v>1621</v>
      </c>
      <c r="E15" s="811"/>
    </row>
    <row r="16" spans="1:53">
      <c r="A16" s="44"/>
      <c r="B16" s="301"/>
      <c r="C16" s="302"/>
      <c r="D16" s="303"/>
      <c r="E16" s="302"/>
      <c r="F16" s="125"/>
      <c r="G16" s="125"/>
      <c r="H16" s="125"/>
      <c r="I16" s="125"/>
    </row>
    <row r="17" spans="1:53" s="12" customFormat="1">
      <c r="A17" s="71"/>
      <c r="B17" s="89"/>
      <c r="C17" s="90" t="s">
        <v>576</v>
      </c>
      <c r="D17" s="126"/>
      <c r="E17" s="389" t="s">
        <v>367</v>
      </c>
      <c r="F17" s="389" t="s">
        <v>368</v>
      </c>
      <c r="G17" s="389" t="s">
        <v>369</v>
      </c>
      <c r="H17" s="389" t="s">
        <v>370</v>
      </c>
      <c r="I17" s="389" t="str">
        <f>CONCATENATE("Posto ",CHAR(COLUMN()+60))</f>
        <v>Posto E</v>
      </c>
      <c r="J17" s="290"/>
      <c r="K17" s="290"/>
      <c r="L17" s="290"/>
      <c r="M17" s="290"/>
      <c r="N17" s="290"/>
      <c r="O17" s="290"/>
      <c r="P17" s="290"/>
      <c r="Q17" s="290"/>
      <c r="R17" s="290"/>
      <c r="S17" s="290"/>
      <c r="T17" s="290"/>
      <c r="U17" s="290"/>
      <c r="V17" s="290"/>
      <c r="W17" s="290"/>
      <c r="X17" s="290"/>
      <c r="Y17" s="290"/>
      <c r="Z17" s="290"/>
      <c r="AA17" s="290"/>
      <c r="AB17" s="290"/>
      <c r="AC17" s="290"/>
      <c r="AD17" s="290"/>
      <c r="AE17" s="290"/>
      <c r="AF17" s="290"/>
      <c r="AG17" s="290"/>
      <c r="AH17" s="290"/>
      <c r="AI17" s="290"/>
      <c r="AJ17" s="290"/>
      <c r="AK17" s="290"/>
      <c r="AL17" s="290"/>
      <c r="AM17" s="290"/>
      <c r="AN17" s="290"/>
      <c r="AO17" s="290"/>
      <c r="AP17" s="290"/>
      <c r="AQ17" s="290"/>
      <c r="AR17" s="290"/>
      <c r="AS17" s="290"/>
      <c r="AT17" s="290"/>
      <c r="AU17" s="290"/>
      <c r="AV17" s="290"/>
      <c r="AW17" s="290"/>
      <c r="AX17" s="290"/>
      <c r="AY17" s="290"/>
      <c r="AZ17" s="290"/>
      <c r="BA17" s="290"/>
    </row>
    <row r="18" spans="1:53" s="64" customFormat="1" ht="30">
      <c r="A18" s="104"/>
      <c r="B18" s="114" t="s">
        <v>2</v>
      </c>
      <c r="C18" s="122" t="s">
        <v>270</v>
      </c>
      <c r="D18" s="119"/>
      <c r="E18" s="107" t="s">
        <v>298</v>
      </c>
      <c r="F18" s="107" t="s">
        <v>298</v>
      </c>
      <c r="G18" s="107" t="s">
        <v>305</v>
      </c>
      <c r="H18" s="107" t="s">
        <v>305</v>
      </c>
      <c r="I18" s="107"/>
      <c r="J18" s="291"/>
      <c r="K18" s="291"/>
      <c r="L18" s="291"/>
      <c r="M18" s="291"/>
      <c r="N18" s="291"/>
      <c r="O18" s="291"/>
      <c r="P18" s="291"/>
      <c r="Q18" s="291"/>
      <c r="R18" s="291"/>
      <c r="S18" s="291"/>
      <c r="T18" s="291"/>
      <c r="U18" s="291"/>
      <c r="V18" s="291"/>
      <c r="W18" s="291"/>
      <c r="X18" s="291"/>
      <c r="Y18" s="291"/>
      <c r="Z18" s="291"/>
      <c r="AA18" s="291"/>
      <c r="AB18" s="291"/>
      <c r="AC18" s="291"/>
      <c r="AD18" s="291"/>
      <c r="AE18" s="291"/>
      <c r="AF18" s="291"/>
      <c r="AG18" s="291"/>
      <c r="AH18" s="291"/>
      <c r="AI18" s="291"/>
      <c r="AJ18" s="291"/>
      <c r="AK18" s="291"/>
      <c r="AL18" s="291"/>
      <c r="AM18" s="291"/>
      <c r="AN18" s="291"/>
      <c r="AO18" s="291"/>
      <c r="AP18" s="291"/>
      <c r="AQ18" s="291"/>
      <c r="AR18" s="291"/>
      <c r="AS18" s="291"/>
      <c r="AT18" s="291"/>
      <c r="AU18" s="291"/>
      <c r="AV18" s="291"/>
      <c r="AW18" s="291"/>
      <c r="AX18" s="291"/>
      <c r="AY18" s="291"/>
      <c r="AZ18" s="291"/>
      <c r="BA18" s="291"/>
    </row>
    <row r="19" spans="1:53" customFormat="1">
      <c r="A19" s="702"/>
      <c r="B19" s="703" t="s">
        <v>1</v>
      </c>
      <c r="C19" s="704" t="s">
        <v>581</v>
      </c>
      <c r="D19" s="705"/>
      <c r="E19" s="107"/>
      <c r="F19" s="107"/>
      <c r="G19" s="107"/>
      <c r="H19" s="107"/>
      <c r="I19" s="107"/>
    </row>
    <row r="20" spans="1:53">
      <c r="A20" s="105"/>
      <c r="B20" s="116" t="s">
        <v>0</v>
      </c>
      <c r="C20" s="123" t="s">
        <v>79</v>
      </c>
      <c r="D20" s="120"/>
      <c r="E20" s="108">
        <f>IFERROR(VLOOKUP(E$18,'Apoio - Posto'!$A:$J,2,FALSE),"")</f>
        <v>5143</v>
      </c>
      <c r="F20" s="108">
        <f>IFERROR(VLOOKUP(F$18,'Apoio - Posto'!$A:$J,2,FALSE),"")</f>
        <v>5143</v>
      </c>
      <c r="G20" s="108">
        <v>5143</v>
      </c>
      <c r="H20" s="108">
        <f>IFERROR(VLOOKUP(H$18,'Apoio - Posto'!$A:$J,2,FALSE),"")</f>
        <v>5143</v>
      </c>
      <c r="I20" s="108" t="str">
        <f>IFERROR(VLOOKUP(I$18,'Apoio - Posto'!$A:$J,2,FALSE),"")</f>
        <v/>
      </c>
    </row>
    <row r="21" spans="1:53">
      <c r="A21" s="106"/>
      <c r="B21" s="115" t="s">
        <v>3</v>
      </c>
      <c r="C21" s="124" t="s">
        <v>17</v>
      </c>
      <c r="D21" s="121"/>
      <c r="E21" s="109">
        <f>IFERROR(VLOOKUP(E$18,'Apoio - Posto'!$A:$AA,7,FALSE),"")</f>
        <v>1765.86</v>
      </c>
      <c r="F21" s="109">
        <f>IFERROR(VLOOKUP(F$18,'Apoio - Posto'!$A:$AA,7,FALSE),"")</f>
        <v>1765.86</v>
      </c>
      <c r="G21" s="109">
        <f>IFERROR(VLOOKUP(G$18,'Apoio - Posto'!$A:$AA,7,FALSE),"")</f>
        <v>2243.81</v>
      </c>
      <c r="H21" s="109">
        <f>IFERROR(VLOOKUP(H$18,'Apoio - Posto'!$A:$AA,7,FALSE),"")</f>
        <v>2243.81</v>
      </c>
      <c r="I21" s="109" t="str">
        <f>IFERROR(VLOOKUP(I$18,'Apoio - Posto'!$A:$AA,7,FALSE),"")</f>
        <v/>
      </c>
    </row>
    <row r="22" spans="1:53">
      <c r="A22" s="105"/>
      <c r="B22" s="116" t="s">
        <v>7</v>
      </c>
      <c r="C22" s="123" t="s">
        <v>464</v>
      </c>
      <c r="D22" s="120"/>
      <c r="E22" s="110">
        <f>IFERROR(VLOOKUP(E$18,'Apoio - Posto'!$A:$AA,8,FALSE),"")</f>
        <v>220</v>
      </c>
      <c r="F22" s="110">
        <f>IFERROR(VLOOKUP(F$18,'Apoio - Posto'!$A:$AA,8,FALSE),"")</f>
        <v>220</v>
      </c>
      <c r="G22" s="110">
        <f>IFERROR(VLOOKUP(G$18,'Apoio - Posto'!$A:$AA,8,FALSE),"")</f>
        <v>220</v>
      </c>
      <c r="H22" s="110">
        <f>IFERROR(VLOOKUP(H$18,'Apoio - Posto'!$A:$AA,8,FALSE),"")</f>
        <v>220</v>
      </c>
      <c r="I22" s="110" t="str">
        <f>IFERROR(VLOOKUP(I$18,'Apoio - Posto'!$A:$AA,8,FALSE),"")</f>
        <v/>
      </c>
    </row>
    <row r="23" spans="1:53">
      <c r="A23" s="106"/>
      <c r="B23" s="115" t="s">
        <v>6</v>
      </c>
      <c r="C23" s="124" t="s">
        <v>18</v>
      </c>
      <c r="D23" s="121"/>
      <c r="E23" s="496" t="str">
        <f>IFERROR(VLOOKUP(E$18,'Apoio - Posto'!$A:$J,3,FALSE),"")</f>
        <v>SINDASSEIO</v>
      </c>
      <c r="F23" s="496" t="str">
        <f>IFERROR(VLOOKUP(F$18,'Apoio - Posto'!$A:$J,3,FALSE),"")</f>
        <v>SINDASSEIO</v>
      </c>
      <c r="G23" s="496" t="str">
        <f>IFERROR(VLOOKUP(G$18,'Apoio - Posto'!$A:$J,3,FALSE),"")</f>
        <v>SINDASSEIO</v>
      </c>
      <c r="H23" s="496" t="str">
        <f>IFERROR(VLOOKUP(H$18,'Apoio - Posto'!$A:$J,3,FALSE),"")</f>
        <v>SINDASSEIO</v>
      </c>
      <c r="I23" s="108" t="str">
        <f>IFERROR(VLOOKUP(I$18,'Apoio - Posto'!$A:$J,3,FALSE),"")</f>
        <v/>
      </c>
    </row>
    <row r="24" spans="1:53">
      <c r="A24" s="105"/>
      <c r="B24" s="116" t="s">
        <v>5</v>
      </c>
      <c r="C24" s="123" t="s">
        <v>77</v>
      </c>
      <c r="D24" s="120"/>
      <c r="E24" s="111">
        <f>IFERROR(VLOOKUP(E$18,'Apoio - Posto'!$A:$J,5,FALSE),"")</f>
        <v>46023</v>
      </c>
      <c r="F24" s="111">
        <f>IFERROR(VLOOKUP(F$18,'Apoio - Posto'!$A:$J,5,FALSE),"")</f>
        <v>46023</v>
      </c>
      <c r="G24" s="111">
        <f>IFERROR(VLOOKUP(G$18,'Apoio - Posto'!$A:$J,5,FALSE),"")</f>
        <v>46023</v>
      </c>
      <c r="H24" s="111">
        <f>IFERROR(VLOOKUP(H$18,'Apoio - Posto'!$A:$J,5,FALSE),"")</f>
        <v>46023</v>
      </c>
      <c r="I24" s="111" t="str">
        <f>IFERROR(VLOOKUP(I$18,'Apoio - Posto'!$A:$J,5,FALSE),"")</f>
        <v/>
      </c>
    </row>
    <row r="25" spans="1:53">
      <c r="A25" s="106"/>
      <c r="B25" s="116" t="s">
        <v>4</v>
      </c>
      <c r="C25" s="124" t="s">
        <v>78</v>
      </c>
      <c r="D25" s="121"/>
      <c r="E25" s="490" t="str">
        <f>IFERROR(VLOOKUP(E$18,'Apoio - Posto'!$A:$J,4,FALSE),"")</f>
        <v>RS000041/2026</v>
      </c>
      <c r="F25" s="490" t="str">
        <f>IFERROR(VLOOKUP(F$18,'Apoio - Posto'!$A:$J,4,FALSE),"")</f>
        <v>RS000041/2026</v>
      </c>
      <c r="G25" s="490" t="str">
        <f>IFERROR(VLOOKUP(G$18,'Apoio - Posto'!$A:$J,4,FALSE),"")</f>
        <v>RS000041/2026</v>
      </c>
      <c r="H25" s="490" t="str">
        <f>IFERROR(VLOOKUP(H$18,'Apoio - Posto'!$A:$J,4,FALSE),"")</f>
        <v>RS000041/2026</v>
      </c>
      <c r="I25" s="112" t="str">
        <f>IFERROR(VLOOKUP(I$18,'Apoio - Posto'!$A:$J,4,FALSE),"")</f>
        <v/>
      </c>
    </row>
    <row r="26" spans="1:53">
      <c r="A26" s="105"/>
      <c r="B26" s="116" t="s">
        <v>113</v>
      </c>
      <c r="C26" s="124" t="s">
        <v>465</v>
      </c>
      <c r="D26" s="121"/>
      <c r="E26" s="112" t="s">
        <v>478</v>
      </c>
      <c r="F26" s="112" t="s">
        <v>478</v>
      </c>
      <c r="G26" s="112" t="s">
        <v>478</v>
      </c>
      <c r="H26" s="112" t="s">
        <v>478</v>
      </c>
      <c r="I26" s="112"/>
    </row>
    <row r="27" spans="1:53" hidden="1">
      <c r="A27" s="106"/>
      <c r="B27" s="115" t="s">
        <v>140</v>
      </c>
      <c r="C27" s="123" t="s">
        <v>488</v>
      </c>
      <c r="D27" s="120"/>
      <c r="E27" s="108">
        <f>8*SUM(K193:K212,K214:K216,K220:K221)/VLOOKUP(E26,'Apoio - Regime de Trabalho'!$A:$K,10,FALSE)</f>
        <v>0</v>
      </c>
      <c r="F27" s="108">
        <f>1/30*E27</f>
        <v>0</v>
      </c>
      <c r="G27" s="108">
        <f>8*SUM(K212:K213,K218:K219)/VLOOKUP(G26,'Apoio - Regime de Trabalho'!$A:$K,10,FALSE)</f>
        <v>0</v>
      </c>
      <c r="H27" s="108">
        <f>1/4*G27</f>
        <v>0</v>
      </c>
      <c r="I27" s="113"/>
    </row>
    <row r="28" spans="1:53" hidden="1">
      <c r="A28" s="105"/>
      <c r="B28" s="115" t="s">
        <v>229</v>
      </c>
      <c r="C28" s="123" t="s">
        <v>459</v>
      </c>
      <c r="D28" s="120"/>
      <c r="E28" s="108">
        <f>IFERROR(VLOOKUP(E26,'Apoio - Regime de Trabalho'!$A:$I,2,FALSE),"")</f>
        <v>1</v>
      </c>
      <c r="F28" s="108">
        <f>IFERROR(VLOOKUP(F26,'Apoio - Regime de Trabalho'!$A:$I,2,FALSE),"")</f>
        <v>1</v>
      </c>
      <c r="G28" s="108">
        <f>IFERROR(VLOOKUP(G26,'Apoio - Regime de Trabalho'!$A:$I,2,FALSE),"")</f>
        <v>1</v>
      </c>
      <c r="H28" s="108">
        <f>IFERROR(VLOOKUP(H26,'Apoio - Regime de Trabalho'!$A:$I,2,FALSE),"")</f>
        <v>1</v>
      </c>
      <c r="I28" s="108" t="str">
        <f>IFERROR(VLOOKUP(I26,'Apoio - Regime de Trabalho'!$A:$I,10,FALSE),"")</f>
        <v/>
      </c>
    </row>
    <row r="29" spans="1:53" hidden="1">
      <c r="A29" s="105"/>
      <c r="B29" s="115" t="s">
        <v>271</v>
      </c>
      <c r="C29" s="123" t="s">
        <v>489</v>
      </c>
      <c r="D29" s="120"/>
      <c r="E29" s="113">
        <f>IFERROR(IF(E18="","",E28*E27),"")</f>
        <v>0</v>
      </c>
      <c r="F29" s="113">
        <f>IFERROR(IF(F18="","",F28*F27),"")</f>
        <v>0</v>
      </c>
      <c r="G29" s="113">
        <f>IFERROR(IF(G18="","",G28*G27),"")</f>
        <v>0</v>
      </c>
      <c r="H29" s="113">
        <f>IFERROR(IF(H18="","",H28*H27),"")</f>
        <v>0</v>
      </c>
      <c r="I29" s="113" t="str">
        <f>IFERROR(IF(I18="","",I28*I27),"")</f>
        <v/>
      </c>
    </row>
    <row r="30" spans="1:53">
      <c r="B30" s="84"/>
      <c r="C30" s="127"/>
      <c r="D30" s="128"/>
      <c r="E30" s="129"/>
      <c r="F30" s="129"/>
      <c r="G30" s="129"/>
      <c r="H30" s="129"/>
      <c r="I30" s="129"/>
    </row>
    <row r="31" spans="1:53" s="12" customFormat="1">
      <c r="A31" s="72"/>
      <c r="B31" s="89"/>
      <c r="C31" s="90" t="s">
        <v>178</v>
      </c>
      <c r="D31" s="91"/>
      <c r="E31" s="369"/>
      <c r="F31" s="369"/>
      <c r="G31" s="369"/>
      <c r="H31" s="369"/>
      <c r="I31" s="369"/>
      <c r="J31" s="290"/>
      <c r="K31" s="290"/>
      <c r="L31" s="290"/>
      <c r="M31" s="290"/>
      <c r="N31" s="290"/>
      <c r="O31" s="290"/>
      <c r="P31" s="290"/>
      <c r="Q31" s="290"/>
      <c r="R31" s="290"/>
      <c r="S31" s="290"/>
      <c r="T31" s="290"/>
      <c r="U31" s="290"/>
      <c r="V31" s="290"/>
      <c r="W31" s="290"/>
      <c r="X31" s="290"/>
      <c r="Y31" s="290"/>
      <c r="Z31" s="290"/>
      <c r="AA31" s="290"/>
      <c r="AB31" s="290"/>
      <c r="AC31" s="290"/>
      <c r="AD31" s="290"/>
      <c r="AE31" s="290"/>
      <c r="AF31" s="290"/>
      <c r="AG31" s="290"/>
      <c r="AH31" s="290"/>
      <c r="AI31" s="290"/>
      <c r="AJ31" s="290"/>
      <c r="AK31" s="290"/>
      <c r="AL31" s="290"/>
      <c r="AM31" s="290"/>
      <c r="AN31" s="290"/>
      <c r="AO31" s="290"/>
      <c r="AP31" s="290"/>
      <c r="AQ31" s="290"/>
      <c r="AR31" s="290"/>
      <c r="AS31" s="290"/>
      <c r="AT31" s="290"/>
      <c r="AU31" s="290"/>
      <c r="AV31" s="290"/>
      <c r="AW31" s="290"/>
      <c r="AX31" s="290"/>
      <c r="AY31" s="290"/>
      <c r="AZ31" s="290"/>
      <c r="BA31" s="290"/>
    </row>
    <row r="32" spans="1:53">
      <c r="A32" s="86"/>
      <c r="B32" s="185" t="s">
        <v>2</v>
      </c>
      <c r="C32" s="178" t="s">
        <v>189</v>
      </c>
      <c r="D32" s="227"/>
      <c r="E32" s="99">
        <f>IFERROR(E21*VLOOKUP(E26,'Apoio - Regime de Trabalho'!$A:$I,8,FALSE)/(E22),"")</f>
        <v>1765.86</v>
      </c>
      <c r="F32" s="99">
        <f>IFERROR(F21*VLOOKUP(F26,'Apoio - Regime de Trabalho'!$A:$I,8,FALSE)/(F22),"")</f>
        <v>1765.86</v>
      </c>
      <c r="G32" s="99">
        <f>IFERROR(G21*VLOOKUP(G26,'Apoio - Regime de Trabalho'!$A:$I,8,FALSE)/(G22),"")</f>
        <v>2243.81</v>
      </c>
      <c r="H32" s="99">
        <f>IFERROR(H21*VLOOKUP(H26,'Apoio - Regime de Trabalho'!$A:$I,8,FALSE)/(H22),"")</f>
        <v>2243.81</v>
      </c>
      <c r="I32" s="99" t="str">
        <f>IFERROR(ROUND(I21*VLOOKUP(I26,'Apoio - Regime de Trabalho'!$A:$I,8,FALSE)/(I22),2),"")</f>
        <v/>
      </c>
    </row>
    <row r="33" spans="1:9">
      <c r="A33" s="86"/>
      <c r="B33" s="812" t="s">
        <v>1</v>
      </c>
      <c r="C33" s="226" t="s">
        <v>185</v>
      </c>
      <c r="D33" s="170"/>
      <c r="E33" s="244"/>
      <c r="F33" s="244"/>
      <c r="G33" s="244"/>
      <c r="H33" s="244"/>
      <c r="I33" s="244"/>
    </row>
    <row r="34" spans="1:9">
      <c r="A34" s="86"/>
      <c r="B34" s="813"/>
      <c r="C34" s="234" t="s">
        <v>105</v>
      </c>
      <c r="D34" s="142"/>
      <c r="E34" s="245">
        <f>IFERROR(VLOOKUP(E$18,'Apoio - Posto'!$A:$AA,15,FALSE),"")</f>
        <v>0</v>
      </c>
      <c r="F34" s="245">
        <f>IFERROR(VLOOKUP(F$18,'Apoio - Posto'!$A:$AA,15,FALSE),"")</f>
        <v>0</v>
      </c>
      <c r="G34" s="245">
        <f>IFERROR(VLOOKUP(G$18,'Apoio - Posto'!$A:$AA,15,FALSE),"")</f>
        <v>0.3</v>
      </c>
      <c r="H34" s="245">
        <f>IFERROR(VLOOKUP(H$18,'Apoio - Posto'!$A:$AA,15,FALSE),"")</f>
        <v>0.3</v>
      </c>
      <c r="I34" s="245" t="str">
        <f>IFERROR(VLOOKUP(I$18,'Apoio - Posto'!$A:$AA,15,FALSE),"")</f>
        <v/>
      </c>
    </row>
    <row r="35" spans="1:9">
      <c r="A35" s="86"/>
      <c r="B35" s="814"/>
      <c r="C35" s="228"/>
      <c r="D35" s="94" t="s">
        <v>41</v>
      </c>
      <c r="E35" s="101">
        <f>IFERROR((E32)*E34,"")</f>
        <v>0</v>
      </c>
      <c r="F35" s="101">
        <f t="shared" ref="F35:H35" si="0">IFERROR((F32)*F34,"")</f>
        <v>0</v>
      </c>
      <c r="G35" s="101">
        <f t="shared" si="0"/>
        <v>673.14299999999992</v>
      </c>
      <c r="H35" s="101">
        <f t="shared" si="0"/>
        <v>673.14299999999992</v>
      </c>
      <c r="I35" s="101" t="str">
        <f>IFERROR(ROUND((I32)*I34,2),"")</f>
        <v/>
      </c>
    </row>
    <row r="36" spans="1:9">
      <c r="A36" s="86"/>
      <c r="B36" s="802" t="s">
        <v>0</v>
      </c>
      <c r="C36" s="224" t="s">
        <v>186</v>
      </c>
      <c r="D36" s="225"/>
      <c r="E36" s="235"/>
      <c r="F36" s="235"/>
      <c r="G36" s="235"/>
      <c r="H36" s="235"/>
      <c r="I36" s="235"/>
    </row>
    <row r="37" spans="1:9">
      <c r="A37" s="86"/>
      <c r="B37" s="802"/>
      <c r="C37" s="102" t="s">
        <v>90</v>
      </c>
      <c r="D37" s="92"/>
      <c r="E37" s="246" t="str">
        <f>IFERROR(VLOOKUP(E$18,'Apoio - Posto'!$A:$AA,14,FALSE),"")</f>
        <v>Salário Base</v>
      </c>
      <c r="F37" s="246" t="str">
        <f>IFERROR(VLOOKUP(F$18,'Apoio - Posto'!$A:$AA,14,FALSE),"")</f>
        <v>Salário Base</v>
      </c>
      <c r="G37" s="246" t="str">
        <f>IFERROR(VLOOKUP(G$18,'Apoio - Posto'!$A:$AA,14,FALSE),"")</f>
        <v>Salário Base</v>
      </c>
      <c r="H37" s="246" t="str">
        <f>IFERROR(VLOOKUP(H$18,'Apoio - Posto'!$A:$AA,14,FALSE),"")</f>
        <v>Salário Base</v>
      </c>
      <c r="I37" s="246" t="str">
        <f>IFERROR(VLOOKUP(I$18,'Apoio - Posto'!$A:$AA,14,FALSE),"")</f>
        <v/>
      </c>
    </row>
    <row r="38" spans="1:9">
      <c r="A38" s="86"/>
      <c r="B38" s="802"/>
      <c r="C38" s="103" t="s">
        <v>91</v>
      </c>
      <c r="D38" s="93"/>
      <c r="E38" s="247">
        <v>0.4</v>
      </c>
      <c r="F38" s="247">
        <v>0.2</v>
      </c>
      <c r="G38" s="247"/>
      <c r="H38" s="247"/>
      <c r="I38" s="247" t="str">
        <f>IFERROR(VLOOKUP(I$18,'Apoio - Posto'!$A:$AA,13,FALSE),"")</f>
        <v/>
      </c>
    </row>
    <row r="39" spans="1:9">
      <c r="A39" s="86"/>
      <c r="B39" s="803"/>
      <c r="C39" s="97"/>
      <c r="D39" s="94" t="s">
        <v>41</v>
      </c>
      <c r="E39" s="101">
        <f>IF(E21="","",IFERROR(IF(E37="Salário Base",E$32,IF(E37="Salário Mínimo",$D$15,0))*E38,""))</f>
        <v>706.34400000000005</v>
      </c>
      <c r="F39" s="101">
        <f>IF(F21="","",IFERROR(IF(F37="Salário Base",F$32,IF(F37="Salário Mínimo",$D$15,0))*F38,""))</f>
        <v>353.17200000000003</v>
      </c>
      <c r="G39" s="101">
        <f>IF(G21="","",IFERROR(IF(G37="Salário Base",G$32,IF(G37="Salário Mínimo",$D$15,0))*G38,""))</f>
        <v>0</v>
      </c>
      <c r="H39" s="101">
        <f>IF(H21="","",IFERROR(IF(H37="Salário Base",H$32,IF(H37="Salário Mínimo",$D$15,0))*H38,""))</f>
        <v>0</v>
      </c>
      <c r="I39" s="101" t="str">
        <f>IF(I21="","",IFERROR(ROUND(IF(I37="Salário Base",I$32,IF(I37="Salário Mínimo",$D$15,0))*I38,2),""))</f>
        <v/>
      </c>
    </row>
    <row r="40" spans="1:9">
      <c r="A40" s="231"/>
      <c r="B40" s="812" t="s">
        <v>3</v>
      </c>
      <c r="C40" s="226" t="s">
        <v>81</v>
      </c>
      <c r="D40" s="141"/>
      <c r="E40" s="236"/>
      <c r="F40" s="236"/>
      <c r="G40" s="236"/>
      <c r="H40" s="236"/>
      <c r="I40" s="236"/>
    </row>
    <row r="41" spans="1:9">
      <c r="A41" s="231"/>
      <c r="B41" s="813"/>
      <c r="C41" s="232" t="s">
        <v>91</v>
      </c>
      <c r="D41" s="142"/>
      <c r="E41" s="233"/>
      <c r="F41" s="233">
        <v>0.2</v>
      </c>
      <c r="G41" s="233"/>
      <c r="H41" s="233">
        <v>0.2</v>
      </c>
      <c r="I41" s="233"/>
    </row>
    <row r="42" spans="1:9">
      <c r="A42" s="231"/>
      <c r="B42" s="814"/>
      <c r="C42" s="97"/>
      <c r="D42" s="94" t="s">
        <v>41</v>
      </c>
      <c r="E42" s="101">
        <f>IFERROR(E41*E$32,"")</f>
        <v>0</v>
      </c>
      <c r="F42" s="101">
        <f t="shared" ref="F42:H42" si="1">IFERROR(F41*F$32,"")</f>
        <v>353.17200000000003</v>
      </c>
      <c r="G42" s="101">
        <f t="shared" si="1"/>
        <v>0</v>
      </c>
      <c r="H42" s="101">
        <f t="shared" si="1"/>
        <v>448.762</v>
      </c>
      <c r="I42" s="101" t="str">
        <f>IFERROR(ROUND(I41*I$32,2),"")</f>
        <v/>
      </c>
    </row>
    <row r="43" spans="1:9">
      <c r="A43" s="86"/>
      <c r="B43" s="802" t="s">
        <v>7</v>
      </c>
      <c r="C43" s="230" t="s">
        <v>60</v>
      </c>
      <c r="D43" s="229"/>
      <c r="E43" s="237"/>
      <c r="F43" s="237"/>
      <c r="G43" s="237"/>
      <c r="H43" s="237"/>
      <c r="I43" s="237"/>
    </row>
    <row r="44" spans="1:9">
      <c r="A44" s="86"/>
      <c r="B44" s="802"/>
      <c r="C44" s="102" t="s">
        <v>85</v>
      </c>
      <c r="D44" s="139"/>
      <c r="E44" s="145" t="str">
        <f>IF(AND(E20=5173,E26="12x36 Noturno"),8,"")</f>
        <v/>
      </c>
      <c r="F44" s="145" t="str">
        <f>IF(AND(F20=5173,F26="12x36 Noturno"),8,"")</f>
        <v/>
      </c>
      <c r="G44" s="145" t="str">
        <f>IF(AND(G20=5173,G26="12x36 Noturno"),8,"")</f>
        <v/>
      </c>
      <c r="H44" s="145" t="str">
        <f>IF(AND(H20=5173,H26="12x36 Noturno"),8,"")</f>
        <v/>
      </c>
      <c r="I44" s="145" t="str">
        <f>IF(AND(I20=5173,I26="12x36 Noturno"),8,"")</f>
        <v/>
      </c>
    </row>
    <row r="45" spans="1:9">
      <c r="A45" s="86"/>
      <c r="B45" s="802"/>
      <c r="C45" s="103" t="s">
        <v>141</v>
      </c>
      <c r="D45" s="140"/>
      <c r="E45" s="146" t="str">
        <f>IF(E44="","",VLOOKUP(E26,'Apoio - Regime de Trabalho'!$A:$I,7,FALSE))</f>
        <v/>
      </c>
      <c r="F45" s="146" t="str">
        <f>IF(F44="","",VLOOKUP(F26,'Apoio - Regime de Trabalho'!$A:$I,7,FALSE))</f>
        <v/>
      </c>
      <c r="G45" s="146" t="str">
        <f>IF(G44="","",VLOOKUP(G26,'Apoio - Regime de Trabalho'!$A:$I,7,FALSE))</f>
        <v/>
      </c>
      <c r="H45" s="146" t="str">
        <f>IF(H44="","",VLOOKUP(H26,'Apoio - Regime de Trabalho'!$A:$I,7,FALSE))</f>
        <v/>
      </c>
      <c r="I45" s="146" t="str">
        <f>IF(I44="","",VLOOKUP(I26,'Apoio - Regime de Trabalho'!$A:$I,7,FALSE))</f>
        <v/>
      </c>
    </row>
    <row r="46" spans="1:9">
      <c r="A46" s="86"/>
      <c r="B46" s="803"/>
      <c r="C46" s="88"/>
      <c r="D46" s="94" t="s">
        <v>41</v>
      </c>
      <c r="E46" s="147" t="str">
        <f>IFERROR(SUM(E$32,E$35,E$39)/(VLOOKUP(E$26,'Apoio - Regime de Trabalho'!$A:$I,8,FALSE))*20%*E$44*E$45,"")</f>
        <v/>
      </c>
      <c r="F46" s="147" t="str">
        <f>IFERROR(SUM(F$32,F$35,F$39)/(VLOOKUP(F$26,'Apoio - Regime de Trabalho'!$A:$I,8,FALSE))*20%*F$44*F$45,"")</f>
        <v/>
      </c>
      <c r="G46" s="147" t="str">
        <f>IFERROR(SUM(G$32,G$35,G$39)/(VLOOKUP(G$26,'Apoio - Regime de Trabalho'!$A:$I,8,FALSE))*20%*G$44*G$45,"")</f>
        <v/>
      </c>
      <c r="H46" s="147" t="str">
        <f>IFERROR(SUM(H$32,H$35,H$39)/(VLOOKUP(H$26,'Apoio - Regime de Trabalho'!$A:$I,8,FALSE))*20%*H$44*H$45,"")</f>
        <v/>
      </c>
      <c r="I46" s="147" t="str">
        <f>IFERROR(ROUND(SUM(I$32,I$35,I$39)/(VLOOKUP(I$26,'Apoio - Regime de Trabalho'!$A:$I,8,FALSE))*20%*I$44*I$45,2),"")</f>
        <v/>
      </c>
    </row>
    <row r="47" spans="1:9">
      <c r="A47" s="86"/>
      <c r="B47" s="804" t="s">
        <v>6</v>
      </c>
      <c r="C47" s="135" t="s">
        <v>139</v>
      </c>
      <c r="D47" s="141"/>
      <c r="E47" s="238"/>
      <c r="F47" s="238"/>
      <c r="G47" s="238"/>
      <c r="H47" s="238"/>
      <c r="I47" s="238"/>
    </row>
    <row r="48" spans="1:9">
      <c r="A48" s="130"/>
      <c r="B48" s="805"/>
      <c r="C48" s="136" t="s">
        <v>19</v>
      </c>
      <c r="D48" s="142"/>
      <c r="E48" s="149" t="str">
        <f>IF(E44="","",E45*E44*('Apoio - Notas Explicativas'!$D$11/'Apoio - Notas Explicativas'!$D$12-1)
*IF(AND(E20=5173,E26="12x36 Noturno"),0,1))</f>
        <v/>
      </c>
      <c r="F48" s="149" t="str">
        <f>IF(F44="","",F45*F44*('Apoio - Notas Explicativas'!$D$11/'Apoio - Notas Explicativas'!$D$12-1)
*IF(AND(F20=5173,F26="12x36 Noturno"),0,1))</f>
        <v/>
      </c>
      <c r="G48" s="149" t="str">
        <f>IF(G44="","",G45*G44*('Apoio - Notas Explicativas'!$D$11/'Apoio - Notas Explicativas'!$D$12-1)
*IF(AND(G20=5173,G26="12x36 Noturno"),0,1))</f>
        <v/>
      </c>
      <c r="H48" s="149" t="str">
        <f>IF(H44="","",H45*H44*('Apoio - Notas Explicativas'!$D$11/'Apoio - Notas Explicativas'!$D$12-1)
*IF(AND(H20=5173,H26="12x36 Noturno"),0,1))</f>
        <v/>
      </c>
      <c r="I48" s="149" t="str">
        <f>IF(I44="","",I45*I44*('Apoio - Notas Explicativas'!$D$11/'Apoio - Notas Explicativas'!$D$12-1)
*IF(AND(I20=5173,I26="12x36 Noturno"),0,1))</f>
        <v/>
      </c>
    </row>
    <row r="49" spans="1:53">
      <c r="A49" s="130"/>
      <c r="B49" s="806"/>
      <c r="C49" s="100"/>
      <c r="D49" s="94" t="s">
        <v>41</v>
      </c>
      <c r="E49" s="101" t="str">
        <f>IFERROR(E48*(SUM(E$32,E$35,E$39)/(VLOOKUP(E$26,'Apoio - Regime de Trabalho'!$A:$I,8,FALSE))*120%),"")</f>
        <v/>
      </c>
      <c r="F49" s="101" t="str">
        <f>IFERROR(F48*(SUM(F$32,F$35,F$39)/(VLOOKUP(F$26,'Apoio - Regime de Trabalho'!$A:$I,8,FALSE))*120%),"")</f>
        <v/>
      </c>
      <c r="G49" s="101" t="str">
        <f>IFERROR(G48*(SUM(G$32,G$35,G$39)/(VLOOKUP(G$26,'Apoio - Regime de Trabalho'!$A:$I,8,FALSE))*120%),"")</f>
        <v/>
      </c>
      <c r="H49" s="101" t="str">
        <f>IFERROR(H48*(SUM(H$32,H$35,H$39)/(VLOOKUP(H$26,'Apoio - Regime de Trabalho'!$A:$I,8,FALSE))*120%),"")</f>
        <v/>
      </c>
      <c r="I49" s="101" t="str">
        <f>IFERROR(ROUND(I48*(SUM(I$32+I$35+I$39)/(VLOOKUP(I$26,'Apoio - Regime de Trabalho'!$A:$I,8,FALSE))*120%),2),"")</f>
        <v/>
      </c>
    </row>
    <row r="50" spans="1:53">
      <c r="A50" s="130"/>
      <c r="B50" s="801" t="s">
        <v>5</v>
      </c>
      <c r="C50" s="160" t="s">
        <v>149</v>
      </c>
      <c r="D50" s="141"/>
      <c r="E50" s="236"/>
      <c r="F50" s="236"/>
      <c r="G50" s="236"/>
      <c r="H50" s="236"/>
      <c r="I50" s="236"/>
    </row>
    <row r="51" spans="1:53">
      <c r="A51" s="86"/>
      <c r="B51" s="802"/>
      <c r="C51" s="102" t="s">
        <v>91</v>
      </c>
      <c r="D51" s="158"/>
      <c r="E51" s="159"/>
      <c r="F51" s="159"/>
      <c r="G51" s="159"/>
      <c r="H51" s="159"/>
      <c r="I51" s="159"/>
    </row>
    <row r="52" spans="1:53">
      <c r="A52" s="86"/>
      <c r="B52" s="802"/>
      <c r="C52" s="103" t="s">
        <v>20</v>
      </c>
      <c r="D52" s="143"/>
      <c r="E52" s="150"/>
      <c r="F52" s="150"/>
      <c r="G52" s="150"/>
      <c r="H52" s="150"/>
      <c r="I52" s="150"/>
    </row>
    <row r="53" spans="1:53">
      <c r="A53" s="86"/>
      <c r="B53" s="803"/>
      <c r="C53" s="88"/>
      <c r="D53" s="94" t="s">
        <v>41</v>
      </c>
      <c r="E53" s="96">
        <f>IFERROR(SUM(E$32,E$35,E$39,E$46)/(VLOOKUP(E$26,'Apoio - Regime de Trabalho'!$A:$I,8,FALSE))*(1+E$51)*E$52,"")</f>
        <v>0</v>
      </c>
      <c r="F53" s="96">
        <f>IFERROR(SUM(F$32,F$35,F$39,F$46)/(VLOOKUP(F$26,'Apoio - Regime de Trabalho'!$A:$I,8,FALSE))*(1+F$51)*F$52,"")</f>
        <v>0</v>
      </c>
      <c r="G53" s="96">
        <f>IFERROR(SUM(G$32,G$35,G$39,G$46)/(VLOOKUP(G$26,'Apoio - Regime de Trabalho'!$A:$I,8,FALSE))*(1+G$51)*G$52,"")</f>
        <v>0</v>
      </c>
      <c r="H53" s="96">
        <f>IFERROR(SUM(H$32,H$35,H$39,H$46)/(VLOOKUP(H$26,'Apoio - Regime de Trabalho'!$A:$I,8,FALSE))*(1+H$51)*H$52,"")</f>
        <v>0</v>
      </c>
      <c r="I53" s="96" t="str">
        <f>IFERROR(ROUND(SUM(I$32,I$35,I$39,I$46)/(VLOOKUP(I$26,'Apoio - Regime de Trabalho'!$A:$I,8,FALSE))*(1+I$51)*I$52,2),"")</f>
        <v/>
      </c>
    </row>
    <row r="54" spans="1:53">
      <c r="A54" s="86"/>
      <c r="B54" s="804" t="s">
        <v>4</v>
      </c>
      <c r="C54" s="135" t="s">
        <v>82</v>
      </c>
      <c r="D54" s="141"/>
      <c r="E54" s="239"/>
      <c r="F54" s="239"/>
      <c r="G54" s="239"/>
      <c r="H54" s="239"/>
      <c r="I54" s="239"/>
    </row>
    <row r="55" spans="1:53">
      <c r="A55" s="86"/>
      <c r="B55" s="805"/>
      <c r="C55" s="136" t="s">
        <v>84</v>
      </c>
      <c r="D55" s="142"/>
      <c r="E55" s="419">
        <f>IF(E18="","",IFERROR(SUM(E$46,E49)*20%,""))</f>
        <v>0</v>
      </c>
      <c r="F55" s="419">
        <f>IF(F18="","",IFERROR(SUM(F$46,F49)*20%,""))</f>
        <v>0</v>
      </c>
      <c r="G55" s="419">
        <f>IF(G18="","",IFERROR(SUM(G$46,G49)*20%,""))</f>
        <v>0</v>
      </c>
      <c r="H55" s="419">
        <f>IF(H18="","",IFERROR(SUM(H$46,H49)*20%,""))</f>
        <v>0</v>
      </c>
      <c r="I55" s="161" t="str">
        <f>IF(I18="","",IFERROR(ROUND(SUM(I$46,I49)*20%,2),""))</f>
        <v/>
      </c>
    </row>
    <row r="56" spans="1:53">
      <c r="A56" s="86"/>
      <c r="B56" s="805"/>
      <c r="C56" s="162" t="s">
        <v>83</v>
      </c>
      <c r="D56" s="144" t="s">
        <v>323</v>
      </c>
      <c r="E56" s="420">
        <f>IFERROR(IF(E18="","",IF(D56="Não",0,E53*20%)),"")</f>
        <v>0</v>
      </c>
      <c r="F56" s="420">
        <f>IFERROR(IF(F18="","",IF(E56="Não",0,F53*20%)),"")</f>
        <v>0</v>
      </c>
      <c r="G56" s="420">
        <f>IFERROR(IF(G18="","",IF(F56="Não",0,G53*20%)),"")</f>
        <v>0</v>
      </c>
      <c r="H56" s="420">
        <f>IFERROR(IF(H18="","",IF(G56="Não",0,H53*20%)),"")</f>
        <v>0</v>
      </c>
      <c r="I56" s="151" t="str">
        <f>IFERROR(IF(I18="","",IF(H56="Não",0,ROUND(I53*20%,2))),"")</f>
        <v/>
      </c>
    </row>
    <row r="57" spans="1:53">
      <c r="A57" s="86"/>
      <c r="B57" s="805"/>
      <c r="C57" s="162" t="s">
        <v>138</v>
      </c>
      <c r="D57" s="144"/>
      <c r="E57" s="420">
        <f>IF(E21="","",IFERROR(E$59*20%,""))</f>
        <v>0</v>
      </c>
      <c r="F57" s="420">
        <f>IF(F21="","",IFERROR(F$59*20%,""))</f>
        <v>0</v>
      </c>
      <c r="G57" s="420">
        <f>IF(G21="","",IFERROR(G$59*20%,""))</f>
        <v>0</v>
      </c>
      <c r="H57" s="420">
        <f>IF(H21="","",IFERROR(H$59*20%,""))</f>
        <v>0</v>
      </c>
      <c r="I57" s="383" t="str">
        <f>IF(I21="","",IFERROR(ROUND(I$59*20%,2),""))</f>
        <v/>
      </c>
    </row>
    <row r="58" spans="1:53">
      <c r="A58" s="86"/>
      <c r="B58" s="806"/>
      <c r="C58" s="100"/>
      <c r="D58" s="94" t="s">
        <v>41</v>
      </c>
      <c r="E58" s="207" t="str">
        <f>IF(SUM(E55:E57)=0,"",SUM(E55:E57))</f>
        <v/>
      </c>
      <c r="F58" s="207" t="str">
        <f t="shared" ref="F58:H58" si="2">IF(SUM(F55:F57)=0,"",SUM(F55:F57))</f>
        <v/>
      </c>
      <c r="G58" s="207" t="str">
        <f t="shared" si="2"/>
        <v/>
      </c>
      <c r="H58" s="207" t="str">
        <f t="shared" si="2"/>
        <v/>
      </c>
      <c r="I58" s="101" t="str">
        <f>IF(SUM(I55:I57)=0,"",SUM(I55:I57))</f>
        <v/>
      </c>
    </row>
    <row r="59" spans="1:53">
      <c r="A59" s="86"/>
      <c r="B59" s="131" t="s">
        <v>113</v>
      </c>
      <c r="C59" s="132" t="s">
        <v>137</v>
      </c>
      <c r="D59" s="98"/>
      <c r="E59" s="256">
        <f>IFERROR(IFERROR(VLOOKUP(E$18,'Apoio - Posto'!$A:$AA,12,FALSE),"")*VLOOKUP(E26,'Apoio - Regime de Trabalho'!$A:$I,7,FALSE),"")</f>
        <v>0</v>
      </c>
      <c r="F59" s="256">
        <f>IFERROR(IFERROR(VLOOKUP(F$18,'Apoio - Posto'!$A:$AA,12,FALSE),"")*VLOOKUP(F26,'Apoio - Regime de Trabalho'!$A:$I,7,FALSE),"")</f>
        <v>0</v>
      </c>
      <c r="G59" s="256">
        <f>IFERROR(IFERROR(VLOOKUP(G$18,'Apoio - Posto'!$A:$AA,12,FALSE),"")*VLOOKUP(G26,'Apoio - Regime de Trabalho'!$A:$I,7,FALSE),"")</f>
        <v>0</v>
      </c>
      <c r="H59" s="256">
        <f>IFERROR(IFERROR(VLOOKUP(H$18,'Apoio - Posto'!$A:$AA,12,FALSE),"")*VLOOKUP(H26,'Apoio - Regime de Trabalho'!$A:$I,7,FALSE),"")</f>
        <v>0</v>
      </c>
      <c r="I59" s="256" t="str">
        <f>IFERROR(IFERROR(VLOOKUP(I$18,'Apoio - Posto'!$A:$AA,12,FALSE),"")*VLOOKUP(I26,'Apoio - Regime de Trabalho'!$A:$I,7,FALSE),"")</f>
        <v/>
      </c>
    </row>
    <row r="60" spans="1:53">
      <c r="A60" s="133"/>
      <c r="B60" s="134" t="s">
        <v>140</v>
      </c>
      <c r="C60" s="440" t="s">
        <v>173</v>
      </c>
      <c r="D60" s="441"/>
      <c r="E60" s="152"/>
      <c r="F60" s="152"/>
      <c r="G60" s="152"/>
      <c r="H60" s="152"/>
      <c r="I60" s="152"/>
    </row>
    <row r="61" spans="1:53" s="5" customFormat="1">
      <c r="A61" s="73"/>
      <c r="B61" s="157"/>
      <c r="C61" s="90" t="s">
        <v>304</v>
      </c>
      <c r="D61" s="153"/>
      <c r="E61" s="155">
        <f>IF(E21="","",SUM(E32,E35,E39,E42,E46,E49,E53,E58,E59,E60))</f>
        <v>2472.2039999999997</v>
      </c>
      <c r="F61" s="156">
        <f>IF(F21="","",SUM(F32,F35,F39,F42,F46,F49,F53,F58,F59,F60))</f>
        <v>2472.2040000000002</v>
      </c>
      <c r="G61" s="156">
        <f>IF(G21="","",SUM(G32,G35,G39,G42,G46,G49,G53,G58,G59,G60))</f>
        <v>2916.953</v>
      </c>
      <c r="H61" s="154">
        <f>IF(H21="","",SUM(H32,H35,H39,H42,H46,H49,H53,H58,H59,H60))</f>
        <v>3365.7150000000001</v>
      </c>
      <c r="I61" s="156" t="str">
        <f>IF(I21="","",SUM(I32,I35,I39,I42,I46,I49,I53,I58,I59,I60))</f>
        <v/>
      </c>
      <c r="J61" s="453"/>
      <c r="K61" s="293"/>
      <c r="L61" s="293"/>
      <c r="M61" s="293"/>
      <c r="N61" s="293"/>
      <c r="O61" s="293"/>
      <c r="P61" s="293"/>
      <c r="Q61" s="293"/>
      <c r="R61" s="293"/>
      <c r="S61" s="293"/>
      <c r="T61" s="293"/>
      <c r="U61" s="293"/>
      <c r="V61" s="293"/>
      <c r="W61" s="293"/>
      <c r="X61" s="293"/>
      <c r="Y61" s="293"/>
      <c r="Z61" s="293"/>
      <c r="AA61" s="293"/>
      <c r="AB61" s="293"/>
      <c r="AC61" s="293"/>
      <c r="AD61" s="293"/>
      <c r="AE61" s="293"/>
      <c r="AF61" s="293"/>
      <c r="AG61" s="293"/>
      <c r="AH61" s="293"/>
      <c r="AI61" s="293"/>
      <c r="AJ61" s="293"/>
      <c r="AK61" s="293"/>
      <c r="AL61" s="293"/>
      <c r="AM61" s="293"/>
      <c r="AN61" s="293"/>
      <c r="AO61" s="293"/>
      <c r="AP61" s="293"/>
      <c r="AQ61" s="293"/>
      <c r="AR61" s="293"/>
      <c r="AS61" s="293"/>
      <c r="AT61" s="293"/>
      <c r="AU61" s="293"/>
      <c r="AV61" s="293"/>
      <c r="AW61" s="293"/>
      <c r="AX61" s="293"/>
      <c r="AY61" s="293"/>
      <c r="AZ61" s="293"/>
      <c r="BA61" s="293"/>
    </row>
    <row r="62" spans="1:53" s="17" customFormat="1">
      <c r="A62" s="20"/>
      <c r="D62" s="14"/>
      <c r="E62" s="21"/>
      <c r="F62" s="21"/>
      <c r="G62" s="21"/>
      <c r="H62" s="21"/>
      <c r="I62" s="21"/>
      <c r="J62" s="294"/>
      <c r="K62" s="294"/>
      <c r="L62" s="294"/>
      <c r="M62" s="294"/>
      <c r="N62" s="294"/>
      <c r="O62" s="294"/>
      <c r="P62" s="294"/>
      <c r="Q62" s="294"/>
      <c r="R62" s="294"/>
      <c r="S62" s="294"/>
      <c r="T62" s="294"/>
      <c r="U62" s="294"/>
      <c r="V62" s="294"/>
      <c r="W62" s="294"/>
      <c r="X62" s="294"/>
      <c r="Y62" s="294"/>
      <c r="Z62" s="294"/>
      <c r="AA62" s="294"/>
      <c r="AB62" s="294"/>
      <c r="AC62" s="294"/>
      <c r="AD62" s="294"/>
      <c r="AE62" s="294"/>
      <c r="AF62" s="294"/>
      <c r="AG62" s="294"/>
      <c r="AH62" s="294"/>
      <c r="AI62" s="294"/>
      <c r="AJ62" s="294"/>
      <c r="AK62" s="294"/>
      <c r="AL62" s="294"/>
      <c r="AM62" s="294"/>
      <c r="AN62" s="294"/>
      <c r="AO62" s="294"/>
      <c r="AP62" s="294"/>
      <c r="AQ62" s="294"/>
      <c r="AR62" s="294"/>
      <c r="AS62" s="294"/>
      <c r="AT62" s="294"/>
      <c r="AU62" s="294"/>
      <c r="AV62" s="294"/>
      <c r="AW62" s="294"/>
      <c r="AX62" s="294"/>
      <c r="AY62" s="294"/>
      <c r="AZ62" s="294"/>
      <c r="BA62" s="294"/>
    </row>
    <row r="63" spans="1:53" s="6" customFormat="1">
      <c r="A63" s="74"/>
      <c r="B63" s="89"/>
      <c r="C63" s="90" t="s">
        <v>124</v>
      </c>
      <c r="D63" s="91"/>
      <c r="E63" s="369"/>
      <c r="F63" s="369"/>
      <c r="G63" s="369"/>
      <c r="H63" s="369"/>
      <c r="I63" s="369"/>
      <c r="J63" s="295"/>
      <c r="K63" s="295"/>
      <c r="L63" s="295"/>
      <c r="M63" s="295"/>
      <c r="N63" s="295"/>
      <c r="O63" s="295"/>
      <c r="P63" s="295"/>
      <c r="Q63" s="295"/>
      <c r="R63" s="295"/>
      <c r="S63" s="295"/>
      <c r="T63" s="295"/>
      <c r="U63" s="295"/>
      <c r="V63" s="295"/>
      <c r="W63" s="295"/>
      <c r="X63" s="295"/>
      <c r="Y63" s="295"/>
      <c r="Z63" s="295"/>
      <c r="AA63" s="295"/>
      <c r="AB63" s="295"/>
      <c r="AC63" s="295"/>
      <c r="AD63" s="295"/>
      <c r="AE63" s="295"/>
      <c r="AF63" s="295"/>
      <c r="AG63" s="295"/>
      <c r="AH63" s="295"/>
      <c r="AI63" s="295"/>
      <c r="AJ63" s="295"/>
      <c r="AK63" s="295"/>
      <c r="AL63" s="295"/>
      <c r="AM63" s="295"/>
      <c r="AN63" s="295"/>
      <c r="AO63" s="295"/>
      <c r="AP63" s="295"/>
      <c r="AQ63" s="295"/>
      <c r="AR63" s="295"/>
      <c r="AS63" s="295"/>
      <c r="AT63" s="295"/>
      <c r="AU63" s="295"/>
      <c r="AV63" s="295"/>
      <c r="AW63" s="295"/>
      <c r="AX63" s="295"/>
      <c r="AY63" s="295"/>
      <c r="AZ63" s="295"/>
      <c r="BA63" s="295"/>
    </row>
    <row r="64" spans="1:53" customFormat="1" ht="3.75" customHeight="1">
      <c r="J64" s="42"/>
      <c r="K64" s="42"/>
      <c r="L64" s="42"/>
      <c r="M64" s="42"/>
      <c r="N64" s="42"/>
      <c r="O64" s="42"/>
      <c r="P64" s="42"/>
      <c r="Q64" s="42"/>
      <c r="R64" s="42"/>
      <c r="S64" s="42"/>
      <c r="T64" s="42"/>
      <c r="U64" s="42"/>
      <c r="V64" s="42"/>
      <c r="W64" s="42"/>
      <c r="X64" s="42"/>
      <c r="Y64" s="42"/>
      <c r="Z64" s="42"/>
      <c r="AA64" s="42"/>
      <c r="AB64" s="42"/>
      <c r="AC64" s="42"/>
      <c r="AD64" s="42"/>
      <c r="AE64" s="42"/>
      <c r="AF64" s="42"/>
      <c r="AG64" s="42"/>
      <c r="AH64" s="42"/>
      <c r="AI64" s="42"/>
      <c r="AJ64" s="42"/>
      <c r="AK64" s="42"/>
      <c r="AL64" s="42"/>
      <c r="AM64" s="42"/>
      <c r="AN64" s="42"/>
      <c r="AO64" s="42"/>
      <c r="AP64" s="42"/>
      <c r="AQ64" s="42"/>
      <c r="AR64" s="42"/>
      <c r="AS64" s="42"/>
      <c r="AT64" s="42"/>
      <c r="AU64" s="42"/>
      <c r="AV64" s="42"/>
      <c r="AW64" s="42"/>
      <c r="AX64" s="42"/>
      <c r="AY64" s="42"/>
      <c r="AZ64" s="42"/>
      <c r="BA64" s="42"/>
    </row>
    <row r="65" spans="1:53" s="6" customFormat="1">
      <c r="A65" s="75"/>
      <c r="B65" s="171"/>
      <c r="C65" s="172" t="s">
        <v>125</v>
      </c>
      <c r="D65" s="173"/>
      <c r="E65" s="176"/>
      <c r="F65" s="176"/>
      <c r="G65" s="176"/>
      <c r="H65" s="174"/>
      <c r="I65" s="176"/>
      <c r="J65" s="295"/>
      <c r="K65" s="295"/>
      <c r="L65" s="295"/>
      <c r="M65" s="295"/>
      <c r="N65" s="295"/>
      <c r="O65" s="295"/>
      <c r="P65" s="295"/>
      <c r="Q65" s="295"/>
      <c r="R65" s="295"/>
      <c r="S65" s="295"/>
      <c r="T65" s="295"/>
      <c r="U65" s="295"/>
      <c r="V65" s="295"/>
      <c r="W65" s="295"/>
      <c r="X65" s="295"/>
      <c r="Y65" s="295"/>
      <c r="Z65" s="295"/>
      <c r="AA65" s="295"/>
      <c r="AB65" s="295"/>
      <c r="AC65" s="295"/>
      <c r="AD65" s="295"/>
      <c r="AE65" s="295"/>
      <c r="AF65" s="295"/>
      <c r="AG65" s="295"/>
      <c r="AH65" s="295"/>
      <c r="AI65" s="295"/>
      <c r="AJ65" s="295"/>
      <c r="AK65" s="295"/>
      <c r="AL65" s="295"/>
      <c r="AM65" s="295"/>
      <c r="AN65" s="295"/>
      <c r="AO65" s="295"/>
      <c r="AP65" s="295"/>
      <c r="AQ65" s="295"/>
      <c r="AR65" s="295"/>
      <c r="AS65" s="295"/>
      <c r="AT65" s="295"/>
      <c r="AU65" s="295"/>
      <c r="AV65" s="295"/>
      <c r="AW65" s="295"/>
      <c r="AX65" s="295"/>
      <c r="AY65" s="295"/>
      <c r="AZ65" s="295"/>
      <c r="BA65" s="295"/>
    </row>
    <row r="66" spans="1:53">
      <c r="A66" s="74"/>
      <c r="B66" s="87" t="s">
        <v>2</v>
      </c>
      <c r="C66" s="391" t="s">
        <v>56</v>
      </c>
      <c r="D66" s="406">
        <f>IFERROR(INDEX('Apoio - Notas Explicativas'!Q:Q,MATCH(C66,'Apoio - Notas Explicativas'!C:C,0)),"")</f>
        <v>8.3299999999999999E-2</v>
      </c>
      <c r="E66" s="99">
        <f>IFERROR($D66*E$61,"")</f>
        <v>205.93459319999997</v>
      </c>
      <c r="F66" s="99">
        <f t="shared" ref="F66:H68" si="3">IFERROR($D66*F$61,"")</f>
        <v>205.93459320000002</v>
      </c>
      <c r="G66" s="99">
        <f t="shared" si="3"/>
        <v>242.98218489999999</v>
      </c>
      <c r="H66" s="99">
        <f t="shared" si="3"/>
        <v>280.3640595</v>
      </c>
      <c r="I66" s="137" t="str">
        <f t="shared" ref="I66:I68" si="4">IFERROR(ROUND($D66*I$61,2),"")</f>
        <v/>
      </c>
    </row>
    <row r="67" spans="1:53">
      <c r="A67" s="74"/>
      <c r="B67" s="87" t="s">
        <v>1</v>
      </c>
      <c r="C67" s="391" t="s">
        <v>21</v>
      </c>
      <c r="D67" s="406">
        <f>IFERROR(INDEX('Apoio - Notas Explicativas'!Q:Q,MATCH(C67,'Apoio - Notas Explicativas'!C:C,0)),"")</f>
        <v>0.1111</v>
      </c>
      <c r="E67" s="99">
        <f>IFERROR($D67*E$61,"")</f>
        <v>274.66186439999996</v>
      </c>
      <c r="F67" s="99">
        <f t="shared" si="3"/>
        <v>274.66186440000001</v>
      </c>
      <c r="G67" s="99">
        <f t="shared" si="3"/>
        <v>324.07347830000003</v>
      </c>
      <c r="H67" s="99">
        <f t="shared" si="3"/>
        <v>373.93093650000003</v>
      </c>
      <c r="I67" s="137" t="str">
        <f t="shared" si="4"/>
        <v/>
      </c>
    </row>
    <row r="68" spans="1:53">
      <c r="A68" s="74"/>
      <c r="B68" s="87" t="s">
        <v>0</v>
      </c>
      <c r="C68" s="653" t="s">
        <v>80</v>
      </c>
      <c r="D68" s="406">
        <f>IFERROR(INDEX('Apoio - Notas Explicativas'!Q:Q,MATCH(C68,'Apoio - Notas Explicativas'!C:C,0)),"")</f>
        <v>7.1599999999999997E-2</v>
      </c>
      <c r="E68" s="99">
        <f>IFERROR($D68*E$61,"")</f>
        <v>177.00980639999997</v>
      </c>
      <c r="F68" s="99">
        <f t="shared" si="3"/>
        <v>177.0098064</v>
      </c>
      <c r="G68" s="99">
        <f t="shared" si="3"/>
        <v>208.85383479999999</v>
      </c>
      <c r="H68" s="99">
        <f t="shared" si="3"/>
        <v>240.98519400000001</v>
      </c>
      <c r="I68" s="137" t="str">
        <f t="shared" si="4"/>
        <v/>
      </c>
    </row>
    <row r="69" spans="1:53" s="5" customFormat="1">
      <c r="A69" s="76"/>
      <c r="B69" s="171"/>
      <c r="C69" s="172" t="s">
        <v>119</v>
      </c>
      <c r="D69" s="175"/>
      <c r="E69" s="176">
        <f>IF(SUM(E66:E68)=0,"",SUM(E66:E68))</f>
        <v>657.6062639999999</v>
      </c>
      <c r="F69" s="176">
        <f t="shared" ref="F69:H69" si="5">IF(SUM(F66:F68)=0,"",SUM(F66:F68))</f>
        <v>657.60626400000001</v>
      </c>
      <c r="G69" s="174">
        <f t="shared" si="5"/>
        <v>775.90949799999999</v>
      </c>
      <c r="H69" s="176">
        <f t="shared" si="5"/>
        <v>895.28019000000006</v>
      </c>
      <c r="I69" s="174" t="str">
        <f>IF(SUM(I66:I68)=0,"",SUM(I66:I68))</f>
        <v/>
      </c>
      <c r="J69" s="293"/>
      <c r="K69" s="293"/>
      <c r="L69" s="293"/>
      <c r="M69" s="293"/>
      <c r="N69" s="293"/>
      <c r="O69" s="293"/>
      <c r="P69" s="293"/>
      <c r="Q69" s="293"/>
      <c r="R69" s="293"/>
      <c r="S69" s="293"/>
      <c r="T69" s="293"/>
      <c r="U69" s="293"/>
      <c r="V69" s="293"/>
      <c r="W69" s="293"/>
      <c r="X69" s="293"/>
      <c r="Y69" s="293"/>
      <c r="Z69" s="293"/>
      <c r="AA69" s="293"/>
      <c r="AB69" s="293"/>
      <c r="AC69" s="293"/>
      <c r="AD69" s="293"/>
      <c r="AE69" s="293"/>
      <c r="AF69" s="293"/>
      <c r="AG69" s="293"/>
      <c r="AH69" s="293"/>
      <c r="AI69" s="293"/>
      <c r="AJ69" s="293"/>
      <c r="AK69" s="293"/>
      <c r="AL69" s="293"/>
      <c r="AM69" s="293"/>
      <c r="AN69" s="293"/>
      <c r="AO69" s="293"/>
      <c r="AP69" s="293"/>
      <c r="AQ69" s="293"/>
      <c r="AR69" s="293"/>
      <c r="AS69" s="293"/>
      <c r="AT69" s="293"/>
      <c r="AU69" s="293"/>
      <c r="AV69" s="293"/>
      <c r="AW69" s="293"/>
      <c r="AX69" s="293"/>
      <c r="AY69" s="293"/>
      <c r="AZ69" s="293"/>
      <c r="BA69" s="293"/>
    </row>
    <row r="70" spans="1:53" customFormat="1" ht="3.75" customHeight="1">
      <c r="J70" s="42"/>
      <c r="K70" s="42"/>
      <c r="L70" s="42"/>
      <c r="M70" s="42"/>
      <c r="N70" s="42"/>
      <c r="O70" s="42"/>
      <c r="P70" s="42"/>
      <c r="Q70" s="42"/>
      <c r="R70" s="42"/>
      <c r="S70" s="42"/>
      <c r="T70" s="42"/>
      <c r="U70" s="42"/>
      <c r="V70" s="42"/>
      <c r="W70" s="42"/>
      <c r="X70" s="42"/>
      <c r="Y70" s="42"/>
      <c r="Z70" s="42"/>
      <c r="AA70" s="42"/>
      <c r="AB70" s="42"/>
      <c r="AC70" s="42"/>
      <c r="AD70" s="42"/>
      <c r="AE70" s="42"/>
      <c r="AF70" s="42"/>
      <c r="AG70" s="42"/>
      <c r="AH70" s="42"/>
      <c r="AI70" s="42"/>
      <c r="AJ70" s="42"/>
      <c r="AK70" s="42"/>
      <c r="AL70" s="42"/>
      <c r="AM70" s="42"/>
      <c r="AN70" s="42"/>
      <c r="AO70" s="42"/>
      <c r="AP70" s="42"/>
      <c r="AQ70" s="42"/>
      <c r="AR70" s="42"/>
      <c r="AS70" s="42"/>
      <c r="AT70" s="42"/>
      <c r="AU70" s="42"/>
      <c r="AV70" s="42"/>
      <c r="AW70" s="42"/>
      <c r="AX70" s="42"/>
      <c r="AY70" s="42"/>
      <c r="AZ70" s="42"/>
      <c r="BA70" s="42"/>
    </row>
    <row r="71" spans="1:53" s="6" customFormat="1">
      <c r="A71" s="76"/>
      <c r="B71" s="171"/>
      <c r="C71" s="172" t="s">
        <v>155</v>
      </c>
      <c r="D71" s="173"/>
      <c r="E71" s="176"/>
      <c r="F71" s="174"/>
      <c r="G71" s="174"/>
      <c r="H71" s="176"/>
      <c r="I71" s="174"/>
      <c r="J71" s="295"/>
      <c r="K71" s="295"/>
      <c r="L71" s="295"/>
      <c r="M71" s="295"/>
      <c r="N71" s="295"/>
      <c r="O71" s="295"/>
      <c r="P71" s="295"/>
      <c r="Q71" s="295"/>
      <c r="R71" s="295"/>
      <c r="S71" s="295"/>
      <c r="T71" s="295"/>
      <c r="U71" s="295"/>
      <c r="V71" s="295"/>
      <c r="W71" s="295"/>
      <c r="X71" s="295"/>
      <c r="Y71" s="295"/>
      <c r="Z71" s="295"/>
      <c r="AA71" s="295"/>
      <c r="AB71" s="295"/>
      <c r="AC71" s="295"/>
      <c r="AD71" s="295"/>
      <c r="AE71" s="295"/>
      <c r="AF71" s="295"/>
      <c r="AG71" s="295"/>
      <c r="AH71" s="295"/>
      <c r="AI71" s="295"/>
      <c r="AJ71" s="295"/>
      <c r="AK71" s="295"/>
      <c r="AL71" s="295"/>
      <c r="AM71" s="295"/>
      <c r="AN71" s="295"/>
      <c r="AO71" s="295"/>
      <c r="AP71" s="295"/>
      <c r="AQ71" s="295"/>
      <c r="AR71" s="295"/>
      <c r="AS71" s="295"/>
      <c r="AT71" s="295"/>
      <c r="AU71" s="295"/>
      <c r="AV71" s="295"/>
      <c r="AW71" s="295"/>
      <c r="AX71" s="295"/>
      <c r="AY71" s="295"/>
      <c r="AZ71" s="295"/>
      <c r="BA71" s="295"/>
    </row>
    <row r="72" spans="1:53">
      <c r="A72" s="76"/>
      <c r="B72" s="87" t="s">
        <v>2</v>
      </c>
      <c r="C72" s="391" t="s">
        <v>49</v>
      </c>
      <c r="D72" s="406">
        <f>IFERROR(INDEX('Apoio - Notas Explicativas'!Q:Q,MATCH(C72,'Apoio - Notas Explicativas'!C:C,0)),"")</f>
        <v>0.2</v>
      </c>
      <c r="E72" s="99">
        <f t="shared" ref="E72:E77" si="6">IFERROR($D72*E$61,"")</f>
        <v>494.44079999999997</v>
      </c>
      <c r="F72" s="137">
        <f t="shared" ref="F72:H77" si="7">IFERROR($D72*F$61,"")</f>
        <v>494.44080000000008</v>
      </c>
      <c r="G72" s="137">
        <f t="shared" si="7"/>
        <v>583.39060000000006</v>
      </c>
      <c r="H72" s="99">
        <f t="shared" si="7"/>
        <v>673.14300000000003</v>
      </c>
      <c r="I72" s="137" t="str">
        <f t="shared" ref="I72:I77" si="8">IFERROR(ROUND($D72*I$61,2),"")</f>
        <v/>
      </c>
    </row>
    <row r="73" spans="1:53">
      <c r="A73" s="74"/>
      <c r="B73" s="87" t="s">
        <v>1</v>
      </c>
      <c r="C73" s="654" t="s">
        <v>50</v>
      </c>
      <c r="D73" s="406">
        <f>IFERROR(INDEX('Apoio - Notas Explicativas'!Q:Q,MATCH(C73,'Apoio - Notas Explicativas'!C:C,0)),"")</f>
        <v>1.4999999999999999E-2</v>
      </c>
      <c r="E73" s="99">
        <f t="shared" si="6"/>
        <v>37.083059999999996</v>
      </c>
      <c r="F73" s="137">
        <f t="shared" si="7"/>
        <v>37.083060000000003</v>
      </c>
      <c r="G73" s="137">
        <f t="shared" si="7"/>
        <v>43.754294999999999</v>
      </c>
      <c r="H73" s="99">
        <f t="shared" si="7"/>
        <v>50.485725000000002</v>
      </c>
      <c r="I73" s="137" t="str">
        <f t="shared" si="8"/>
        <v/>
      </c>
    </row>
    <row r="74" spans="1:53">
      <c r="A74" s="74"/>
      <c r="B74" s="87" t="s">
        <v>0</v>
      </c>
      <c r="C74" s="391" t="s">
        <v>51</v>
      </c>
      <c r="D74" s="406">
        <f>IFERROR(INDEX('Apoio - Notas Explicativas'!Q:Q,MATCH(C74,'Apoio - Notas Explicativas'!C:C,0)),"")</f>
        <v>0.01</v>
      </c>
      <c r="E74" s="99">
        <f t="shared" si="6"/>
        <v>24.722039999999996</v>
      </c>
      <c r="F74" s="137">
        <f t="shared" si="7"/>
        <v>24.722040000000003</v>
      </c>
      <c r="G74" s="137">
        <f t="shared" si="7"/>
        <v>29.169530000000002</v>
      </c>
      <c r="H74" s="99">
        <f t="shared" si="7"/>
        <v>33.657150000000001</v>
      </c>
      <c r="I74" s="137" t="str">
        <f t="shared" si="8"/>
        <v/>
      </c>
    </row>
    <row r="75" spans="1:53">
      <c r="A75" s="74"/>
      <c r="B75" s="87" t="s">
        <v>3</v>
      </c>
      <c r="C75" s="391" t="s">
        <v>52</v>
      </c>
      <c r="D75" s="406">
        <f>IFERROR(INDEX('Apoio - Notas Explicativas'!Q:Q,MATCH(C75,'Apoio - Notas Explicativas'!C:C,0)),"")</f>
        <v>2E-3</v>
      </c>
      <c r="E75" s="99">
        <f t="shared" si="6"/>
        <v>4.9444079999999992</v>
      </c>
      <c r="F75" s="137">
        <f t="shared" si="7"/>
        <v>4.9444080000000001</v>
      </c>
      <c r="G75" s="137">
        <f t="shared" si="7"/>
        <v>5.8339059999999998</v>
      </c>
      <c r="H75" s="99">
        <f t="shared" si="7"/>
        <v>6.7314300000000005</v>
      </c>
      <c r="I75" s="137" t="str">
        <f t="shared" si="8"/>
        <v/>
      </c>
    </row>
    <row r="76" spans="1:53">
      <c r="A76" s="74"/>
      <c r="B76" s="87" t="s">
        <v>7</v>
      </c>
      <c r="C76" s="391" t="s">
        <v>53</v>
      </c>
      <c r="D76" s="406">
        <f>IFERROR(INDEX('Apoio - Notas Explicativas'!Q:Q,MATCH(C76,'Apoio - Notas Explicativas'!C:C,0)),"")</f>
        <v>2.5000000000000001E-2</v>
      </c>
      <c r="E76" s="99">
        <f t="shared" si="6"/>
        <v>61.805099999999996</v>
      </c>
      <c r="F76" s="137">
        <f t="shared" si="7"/>
        <v>61.80510000000001</v>
      </c>
      <c r="G76" s="137">
        <f t="shared" si="7"/>
        <v>72.923825000000008</v>
      </c>
      <c r="H76" s="99">
        <f t="shared" si="7"/>
        <v>84.142875000000004</v>
      </c>
      <c r="I76" s="137" t="str">
        <f t="shared" si="8"/>
        <v/>
      </c>
    </row>
    <row r="77" spans="1:53">
      <c r="A77" s="74"/>
      <c r="B77" s="87" t="s">
        <v>6</v>
      </c>
      <c r="C77" s="391" t="s">
        <v>54</v>
      </c>
      <c r="D77" s="406">
        <f>IFERROR(INDEX('Apoio - Notas Explicativas'!Q:Q,MATCH(C77,'Apoio - Notas Explicativas'!C:C,0)),"")</f>
        <v>0.08</v>
      </c>
      <c r="E77" s="99">
        <f t="shared" si="6"/>
        <v>197.77631999999997</v>
      </c>
      <c r="F77" s="137">
        <f t="shared" si="7"/>
        <v>197.77632000000003</v>
      </c>
      <c r="G77" s="137">
        <f t="shared" si="7"/>
        <v>233.35624000000001</v>
      </c>
      <c r="H77" s="99">
        <f t="shared" si="7"/>
        <v>269.25720000000001</v>
      </c>
      <c r="I77" s="137" t="str">
        <f t="shared" si="8"/>
        <v/>
      </c>
    </row>
    <row r="78" spans="1:53">
      <c r="A78" s="74"/>
      <c r="B78" s="798" t="s">
        <v>5</v>
      </c>
      <c r="C78" s="655" t="str">
        <f>CONCATENATE("GILL/RAT (RAT ",D79," x FAP ",D80,")")</f>
        <v>GILL/RAT (RAT 0,03 x FAP 1)</v>
      </c>
      <c r="D78" s="656"/>
      <c r="E78" s="238"/>
      <c r="F78" s="421"/>
      <c r="G78" s="421"/>
      <c r="H78" s="238"/>
      <c r="I78" s="138"/>
    </row>
    <row r="79" spans="1:53">
      <c r="A79" s="74"/>
      <c r="B79" s="799"/>
      <c r="C79" s="657" t="s">
        <v>47</v>
      </c>
      <c r="D79" s="167">
        <f>VLOOKUP(C79,'Apoio - Notas Explicativas'!$C:$Q,14,FALSE)</f>
        <v>0.03</v>
      </c>
      <c r="E79" s="422"/>
      <c r="F79" s="422"/>
      <c r="G79" s="422"/>
      <c r="H79" s="454"/>
      <c r="I79" s="167"/>
    </row>
    <row r="80" spans="1:53">
      <c r="A80" s="74"/>
      <c r="B80" s="807"/>
      <c r="C80" s="658" t="s">
        <v>42</v>
      </c>
      <c r="D80" s="300">
        <f>VLOOKUP(C80,'Apoio - Notas Explicativas'!$C:$Q,14,FALSE)</f>
        <v>1</v>
      </c>
      <c r="E80" s="423"/>
      <c r="F80" s="423"/>
      <c r="G80" s="423"/>
      <c r="H80" s="423"/>
      <c r="I80" s="168"/>
    </row>
    <row r="81" spans="1:53">
      <c r="A81" s="74"/>
      <c r="B81" s="800"/>
      <c r="C81" s="391"/>
      <c r="D81" s="659">
        <f>D80*D79</f>
        <v>0.03</v>
      </c>
      <c r="E81" s="169">
        <f>IFERROR($D81*E$61,"")</f>
        <v>74.166119999999992</v>
      </c>
      <c r="F81" s="169">
        <f t="shared" ref="F81:H82" si="9">IFERROR($D81*F$61,"")</f>
        <v>74.166120000000006</v>
      </c>
      <c r="G81" s="169">
        <f t="shared" si="9"/>
        <v>87.508589999999998</v>
      </c>
      <c r="H81" s="169">
        <f t="shared" si="9"/>
        <v>100.97145</v>
      </c>
      <c r="I81" s="169" t="str">
        <f t="shared" ref="I81:I82" si="10">IFERROR(ROUND($D81*I$61,2),"")</f>
        <v/>
      </c>
    </row>
    <row r="82" spans="1:53">
      <c r="A82" s="76"/>
      <c r="B82" s="87" t="s">
        <v>4</v>
      </c>
      <c r="C82" s="391" t="s">
        <v>55</v>
      </c>
      <c r="D82" s="406">
        <f>IFERROR(INDEX('Apoio - Notas Explicativas'!Q:Q,MATCH(C82,'Apoio - Notas Explicativas'!C:C,0)),"")</f>
        <v>6.0000000000000001E-3</v>
      </c>
      <c r="E82" s="137">
        <f>IFERROR($D82*E$61,"")</f>
        <v>14.833224</v>
      </c>
      <c r="F82" s="137">
        <f t="shared" si="9"/>
        <v>14.833224000000001</v>
      </c>
      <c r="G82" s="137">
        <f t="shared" si="9"/>
        <v>17.501718</v>
      </c>
      <c r="H82" s="137">
        <f t="shared" si="9"/>
        <v>20.194290000000002</v>
      </c>
      <c r="I82" s="137" t="str">
        <f t="shared" si="10"/>
        <v/>
      </c>
    </row>
    <row r="83" spans="1:53" s="5" customFormat="1">
      <c r="A83" s="76"/>
      <c r="B83" s="171"/>
      <c r="C83" s="172" t="s">
        <v>118</v>
      </c>
      <c r="D83" s="175"/>
      <c r="E83" s="176">
        <f>IF((SUM(E72:E77,E81,E82))=0,"",(SUM(E72:E77,E81,E82)))</f>
        <v>909.77107199999989</v>
      </c>
      <c r="F83" s="176">
        <f t="shared" ref="F83:H83" si="11">IF((SUM(F72:F77,F81,F82))=0,"",(SUM(F72:F77,F81,F82)))</f>
        <v>909.77107200000012</v>
      </c>
      <c r="G83" s="176">
        <f t="shared" si="11"/>
        <v>1073.4387039999999</v>
      </c>
      <c r="H83" s="176">
        <f t="shared" si="11"/>
        <v>1238.58312</v>
      </c>
      <c r="I83" s="176" t="str">
        <f>IF((SUM(I72:I77,I81,I82))=0,"",(SUM(I72:I77,I81,I82)))</f>
        <v/>
      </c>
      <c r="J83" s="293"/>
      <c r="K83" s="293"/>
      <c r="L83" s="293"/>
      <c r="M83" s="293"/>
      <c r="N83" s="293"/>
      <c r="O83" s="293"/>
      <c r="P83" s="293"/>
      <c r="Q83" s="293"/>
      <c r="R83" s="293"/>
      <c r="S83" s="293"/>
      <c r="T83" s="293"/>
      <c r="U83" s="293"/>
      <c r="V83" s="293"/>
      <c r="W83" s="293"/>
      <c r="X83" s="293"/>
      <c r="Y83" s="293"/>
      <c r="Z83" s="293"/>
      <c r="AA83" s="293"/>
      <c r="AB83" s="293"/>
      <c r="AC83" s="293"/>
      <c r="AD83" s="293"/>
      <c r="AE83" s="293"/>
      <c r="AF83" s="293"/>
      <c r="AG83" s="293"/>
      <c r="AH83" s="293"/>
      <c r="AI83" s="293"/>
      <c r="AJ83" s="293"/>
      <c r="AK83" s="293"/>
      <c r="AL83" s="293"/>
      <c r="AM83" s="293"/>
      <c r="AN83" s="293"/>
      <c r="AO83" s="293"/>
      <c r="AP83" s="293"/>
      <c r="AQ83" s="293"/>
      <c r="AR83" s="293"/>
      <c r="AS83" s="293"/>
      <c r="AT83" s="293"/>
      <c r="AU83" s="293"/>
      <c r="AV83" s="293"/>
      <c r="AW83" s="293"/>
      <c r="AX83" s="293"/>
      <c r="AY83" s="293"/>
      <c r="AZ83" s="293"/>
      <c r="BA83" s="293"/>
    </row>
    <row r="84" spans="1:53" customFormat="1" ht="3.75" customHeight="1">
      <c r="J84" s="42"/>
      <c r="K84" s="42"/>
      <c r="L84" s="42"/>
      <c r="M84" s="42"/>
      <c r="N84" s="42"/>
      <c r="O84" s="42"/>
      <c r="P84" s="42"/>
      <c r="Q84" s="42"/>
      <c r="R84" s="42"/>
      <c r="S84" s="42"/>
      <c r="T84" s="42"/>
      <c r="U84" s="42"/>
      <c r="V84" s="42"/>
      <c r="W84" s="42"/>
      <c r="X84" s="42"/>
      <c r="Y84" s="42"/>
      <c r="Z84" s="42"/>
      <c r="AA84" s="42"/>
      <c r="AB84" s="42"/>
      <c r="AC84" s="42"/>
      <c r="AD84" s="42"/>
      <c r="AE84" s="42"/>
      <c r="AF84" s="42"/>
      <c r="AG84" s="42"/>
      <c r="AH84" s="42"/>
      <c r="AI84" s="42"/>
      <c r="AJ84" s="42"/>
      <c r="AK84" s="42"/>
      <c r="AL84" s="42"/>
      <c r="AM84" s="42"/>
      <c r="AN84" s="42"/>
      <c r="AO84" s="42"/>
      <c r="AP84" s="42"/>
      <c r="AQ84" s="42"/>
      <c r="AR84" s="42"/>
      <c r="AS84" s="42"/>
      <c r="AT84" s="42"/>
      <c r="AU84" s="42"/>
      <c r="AV84" s="42"/>
      <c r="AW84" s="42"/>
      <c r="AX84" s="42"/>
      <c r="AY84" s="42"/>
      <c r="AZ84" s="42"/>
      <c r="BA84" s="42"/>
    </row>
    <row r="85" spans="1:53" s="6" customFormat="1">
      <c r="A85" s="76"/>
      <c r="B85" s="182"/>
      <c r="C85" s="183" t="s">
        <v>126</v>
      </c>
      <c r="D85" s="184"/>
      <c r="E85" s="176"/>
      <c r="F85" s="176"/>
      <c r="G85" s="176"/>
      <c r="H85" s="176"/>
      <c r="I85" s="176"/>
      <c r="J85" s="295"/>
      <c r="K85" s="295"/>
      <c r="L85" s="295"/>
      <c r="M85" s="295"/>
      <c r="N85" s="295"/>
      <c r="O85" s="295"/>
      <c r="P85" s="295"/>
      <c r="Q85" s="295"/>
      <c r="R85" s="295"/>
      <c r="S85" s="295"/>
      <c r="T85" s="295"/>
      <c r="U85" s="295"/>
      <c r="V85" s="295"/>
      <c r="W85" s="295"/>
      <c r="X85" s="295"/>
      <c r="Y85" s="295"/>
      <c r="Z85" s="295"/>
      <c r="AA85" s="295"/>
      <c r="AB85" s="295"/>
      <c r="AC85" s="295"/>
      <c r="AD85" s="295"/>
      <c r="AE85" s="295"/>
      <c r="AF85" s="295"/>
      <c r="AG85" s="295"/>
      <c r="AH85" s="295"/>
      <c r="AI85" s="295"/>
      <c r="AJ85" s="295"/>
      <c r="AK85" s="295"/>
      <c r="AL85" s="295"/>
      <c r="AM85" s="295"/>
      <c r="AN85" s="295"/>
      <c r="AO85" s="295"/>
      <c r="AP85" s="295"/>
      <c r="AQ85" s="295"/>
      <c r="AR85" s="295"/>
      <c r="AS85" s="295"/>
      <c r="AT85" s="295"/>
      <c r="AU85" s="295"/>
      <c r="AV85" s="295"/>
      <c r="AW85" s="295"/>
      <c r="AX85" s="295"/>
      <c r="AY85" s="295"/>
      <c r="AZ85" s="295"/>
      <c r="BA85" s="295"/>
    </row>
    <row r="86" spans="1:53" s="12" customFormat="1">
      <c r="A86" s="74"/>
      <c r="B86" s="798" t="s">
        <v>2</v>
      </c>
      <c r="C86" s="163" t="s">
        <v>86</v>
      </c>
      <c r="D86" s="194"/>
      <c r="E86" s="240"/>
      <c r="F86" s="240"/>
      <c r="G86" s="240"/>
      <c r="H86" s="240"/>
      <c r="I86" s="240"/>
      <c r="J86" s="290"/>
      <c r="K86" s="290"/>
      <c r="L86" s="290"/>
      <c r="M86" s="290"/>
      <c r="N86" s="290"/>
      <c r="O86" s="290"/>
      <c r="P86" s="290"/>
      <c r="Q86" s="290"/>
      <c r="R86" s="290"/>
      <c r="S86" s="290"/>
      <c r="T86" s="290"/>
      <c r="U86" s="290"/>
      <c r="V86" s="290"/>
      <c r="W86" s="290"/>
      <c r="X86" s="290"/>
      <c r="Y86" s="290"/>
      <c r="Z86" s="290"/>
      <c r="AA86" s="290"/>
      <c r="AB86" s="290"/>
      <c r="AC86" s="290"/>
      <c r="AD86" s="290"/>
      <c r="AE86" s="290"/>
      <c r="AF86" s="290"/>
      <c r="AG86" s="290"/>
      <c r="AH86" s="290"/>
      <c r="AI86" s="290"/>
      <c r="AJ86" s="290"/>
      <c r="AK86" s="290"/>
      <c r="AL86" s="290"/>
      <c r="AM86" s="290"/>
      <c r="AN86" s="290"/>
      <c r="AO86" s="290"/>
      <c r="AP86" s="290"/>
      <c r="AQ86" s="290"/>
      <c r="AR86" s="290"/>
      <c r="AS86" s="290"/>
      <c r="AT86" s="290"/>
      <c r="AU86" s="290"/>
      <c r="AV86" s="290"/>
      <c r="AW86" s="290"/>
      <c r="AX86" s="290"/>
      <c r="AY86" s="290"/>
      <c r="AZ86" s="290"/>
      <c r="BA86" s="290"/>
    </row>
    <row r="87" spans="1:53">
      <c r="A87" s="74"/>
      <c r="B87" s="799"/>
      <c r="C87" s="164" t="s">
        <v>87</v>
      </c>
      <c r="D87" s="212"/>
      <c r="E87" s="416">
        <v>5.3</v>
      </c>
      <c r="F87" s="416">
        <v>5.3</v>
      </c>
      <c r="G87" s="416">
        <v>5.3</v>
      </c>
      <c r="H87" s="416">
        <v>5.3</v>
      </c>
      <c r="I87" s="196" t="str">
        <f>IF(I18="","",4.8)</f>
        <v/>
      </c>
    </row>
    <row r="88" spans="1:53">
      <c r="A88" s="74"/>
      <c r="B88" s="799"/>
      <c r="C88" s="103" t="s">
        <v>108</v>
      </c>
      <c r="D88" s="213"/>
      <c r="E88" s="198">
        <f>IF(E18="","",2)</f>
        <v>2</v>
      </c>
      <c r="F88" s="198">
        <f>IF(F18="","",2)</f>
        <v>2</v>
      </c>
      <c r="G88" s="198">
        <f>IF(G18="","",2)</f>
        <v>2</v>
      </c>
      <c r="H88" s="198">
        <f>IF(H18="","",2)</f>
        <v>2</v>
      </c>
      <c r="I88" s="198" t="str">
        <f>IF(I18="","",2)</f>
        <v/>
      </c>
    </row>
    <row r="89" spans="1:53">
      <c r="A89" s="74"/>
      <c r="B89" s="799"/>
      <c r="C89" s="103" t="s">
        <v>88</v>
      </c>
      <c r="D89" s="214"/>
      <c r="E89" s="199">
        <f>IFERROR(IF(E18="","",VLOOKUP(E26,'Apoio - Regime de Trabalho'!$A:$G,7,FALSE)),"")</f>
        <v>22</v>
      </c>
      <c r="F89" s="199">
        <f>IFERROR(IF(F18="","",VLOOKUP(F26,'Apoio - Regime de Trabalho'!$A:$G,7,FALSE)),"")</f>
        <v>22</v>
      </c>
      <c r="G89" s="199">
        <f>IFERROR(IF(G18="","",VLOOKUP(G26,'Apoio - Regime de Trabalho'!$A:$G,7,FALSE)),"")</f>
        <v>22</v>
      </c>
      <c r="H89" s="199">
        <f>IFERROR(IF(H18="","",VLOOKUP(H26,'Apoio - Regime de Trabalho'!$A:$G,7,FALSE)),"")</f>
        <v>22</v>
      </c>
      <c r="I89" s="199" t="str">
        <f>IFERROR(IF(I18="","",VLOOKUP(I26,'Apoio - Regime de Trabalho'!$A:$G,7,FALSE)),"")</f>
        <v/>
      </c>
    </row>
    <row r="90" spans="1:53">
      <c r="A90" s="74"/>
      <c r="B90" s="799"/>
      <c r="C90" s="103" t="s">
        <v>22</v>
      </c>
      <c r="D90" s="213"/>
      <c r="E90" s="200">
        <f>IF(E18="","",IFERROR(VLOOKUP(E$18,'Apoio - Posto'!$A:$AA,16,FALSE),6%))</f>
        <v>0.06</v>
      </c>
      <c r="F90" s="200">
        <f>IF(F18="","",IFERROR(VLOOKUP(F$18,'Apoio - Posto'!$A:$AA,16,FALSE),6%))</f>
        <v>0.06</v>
      </c>
      <c r="G90" s="200">
        <f>IF(G18="","",IFERROR(VLOOKUP(G$18,'Apoio - Posto'!$A:$AA,16,FALSE),6%))</f>
        <v>0.06</v>
      </c>
      <c r="H90" s="200">
        <f>IF(H18="","",IFERROR(VLOOKUP(H$18,'Apoio - Posto'!$A:$AA,16,FALSE),6%))</f>
        <v>0.06</v>
      </c>
      <c r="I90" s="200" t="str">
        <f>IFERROR(VLOOKUP(I$18,'Apoio - Posto'!$A:$AA,16,FALSE),"")</f>
        <v/>
      </c>
    </row>
    <row r="91" spans="1:53">
      <c r="A91" s="74"/>
      <c r="B91" s="800"/>
      <c r="C91" s="219"/>
      <c r="D91" s="215" t="s">
        <v>41</v>
      </c>
      <c r="E91" s="147">
        <f>IFERROR(MAX((E87*E88*E89)-(E$90*E$32),0),"")</f>
        <v>127.2484</v>
      </c>
      <c r="F91" s="147">
        <f t="shared" ref="F91:H91" si="12">IFERROR(MAX((F87*F88*F89)-(F$90*F$32),0),"")</f>
        <v>127.2484</v>
      </c>
      <c r="G91" s="147">
        <f t="shared" si="12"/>
        <v>98.571399999999983</v>
      </c>
      <c r="H91" s="147">
        <f t="shared" si="12"/>
        <v>98.571399999999983</v>
      </c>
      <c r="I91" s="147" t="str">
        <f>IFERROR(ROUND((I87*I88*I89)-(I$90*I$32),2),"")</f>
        <v/>
      </c>
    </row>
    <row r="92" spans="1:53">
      <c r="A92" s="74"/>
      <c r="B92" s="798" t="s">
        <v>1</v>
      </c>
      <c r="C92" s="193" t="s">
        <v>23</v>
      </c>
      <c r="D92" s="216"/>
      <c r="E92" s="241"/>
      <c r="F92" s="241"/>
      <c r="G92" s="241"/>
      <c r="H92" s="241"/>
      <c r="I92" s="241"/>
    </row>
    <row r="93" spans="1:53">
      <c r="A93" s="74"/>
      <c r="B93" s="799"/>
      <c r="C93" s="211" t="s">
        <v>24</v>
      </c>
      <c r="D93" s="208"/>
      <c r="E93" s="202">
        <f>IFERROR(VLOOKUP(E$18,'Apoio - Posto'!$A:$AA,IF(VLOOKUP(E26,'Apoio - Regime de Trabalho'!$A:$I,8,FALSE)&gt;=200,9,10),FALSE),"")</f>
        <v>27.15</v>
      </c>
      <c r="F93" s="202">
        <f>IFERROR(VLOOKUP(F$18,'Apoio - Posto'!$A:$AA,IF(VLOOKUP(F26,'Apoio - Regime de Trabalho'!$A:$I,8,FALSE)&gt;=200,9,10),FALSE),"")</f>
        <v>27.15</v>
      </c>
      <c r="G93" s="202">
        <f>IFERROR(VLOOKUP(G$18,'Apoio - Posto'!$A:$AA,IF(VLOOKUP(G26,'Apoio - Regime de Trabalho'!$A:$I,8,FALSE)&gt;=200,9,10),FALSE),"")</f>
        <v>27.15</v>
      </c>
      <c r="H93" s="202">
        <f>IFERROR(VLOOKUP(H$18,'Apoio - Posto'!$A:$AA,IF(VLOOKUP(H26,'Apoio - Regime de Trabalho'!$A:$I,8,FALSE)&gt;=200,9,10),FALSE),"")</f>
        <v>27.15</v>
      </c>
      <c r="I93" s="202" t="str">
        <f>IFERROR(VLOOKUP(I$18,'Apoio - Posto'!$A:$AA,IF(VLOOKUP(I26,'Apoio - Regime de Trabalho'!$A:$I,8,FALSE)&gt;180,9,10),FALSE),"")</f>
        <v/>
      </c>
    </row>
    <row r="94" spans="1:53">
      <c r="A94" s="74"/>
      <c r="B94" s="799"/>
      <c r="C94" s="162" t="s">
        <v>276</v>
      </c>
      <c r="D94" s="210"/>
      <c r="E94" s="204">
        <f>IFERROR(IF(E18="","",VLOOKUP(E26,'Apoio - Regime de Trabalho'!$A:$G,7,FALSE)),"")</f>
        <v>22</v>
      </c>
      <c r="F94" s="204">
        <f>IFERROR(IF(F18="","",VLOOKUP(F26,'Apoio - Regime de Trabalho'!$A:$G,7,FALSE)),"")</f>
        <v>22</v>
      </c>
      <c r="G94" s="204">
        <f>IFERROR(IF(G18="","",VLOOKUP(G26,'Apoio - Regime de Trabalho'!$A:$G,7,FALSE)),"")</f>
        <v>22</v>
      </c>
      <c r="H94" s="204">
        <f>IFERROR(IF(H18="","",VLOOKUP(H26,'Apoio - Regime de Trabalho'!$A:$G,7,FALSE)),"")</f>
        <v>22</v>
      </c>
      <c r="I94" s="204" t="str">
        <f>IFERROR(IF(I18="","",VLOOKUP(I26,'Apoio - Regime de Trabalho'!$A:$G,7,FALSE)),"")</f>
        <v/>
      </c>
    </row>
    <row r="95" spans="1:53">
      <c r="A95" s="74"/>
      <c r="B95" s="799"/>
      <c r="C95" s="162" t="s">
        <v>273</v>
      </c>
      <c r="D95" s="210"/>
      <c r="E95" s="205">
        <f>IFERROR(VLOOKUP(E$18,'Apoio - Posto'!$A:$AA,17,FALSE),"")</f>
        <v>0.19</v>
      </c>
      <c r="F95" s="205">
        <f>IFERROR(VLOOKUP(F$18,'Apoio - Posto'!$A:$AA,17,FALSE),"")</f>
        <v>0.19</v>
      </c>
      <c r="G95" s="205">
        <f>IFERROR(VLOOKUP(G$18,'Apoio - Posto'!$A:$AA,17,FALSE),"")</f>
        <v>0.19</v>
      </c>
      <c r="H95" s="205">
        <f>IFERROR(VLOOKUP(H$18,'Apoio - Posto'!$A:$AA,17,FALSE),"")</f>
        <v>0.19</v>
      </c>
      <c r="I95" s="205" t="str">
        <f>IFERROR(VLOOKUP(I$18,'Apoio - Posto'!$A:$AA,17,FALSE),"")</f>
        <v/>
      </c>
    </row>
    <row r="96" spans="1:53">
      <c r="A96" s="74"/>
      <c r="B96" s="800"/>
      <c r="C96" s="219"/>
      <c r="D96" s="215" t="s">
        <v>41</v>
      </c>
      <c r="E96" s="101">
        <f>IFERROR((E93*E94)-(E$93*E$94*E$95),"")</f>
        <v>483.81299999999999</v>
      </c>
      <c r="F96" s="101">
        <f t="shared" ref="F96:H96" si="13">IFERROR((F93*F94)-(F$93*F$94*F$95),"")</f>
        <v>483.81299999999999</v>
      </c>
      <c r="G96" s="101">
        <f t="shared" si="13"/>
        <v>483.81299999999999</v>
      </c>
      <c r="H96" s="101">
        <f t="shared" si="13"/>
        <v>483.81299999999999</v>
      </c>
      <c r="I96" s="101" t="str">
        <f>IFERROR(ROUND((I93*I94)-(I$93*I$94*I$95),2),"")</f>
        <v/>
      </c>
    </row>
    <row r="97" spans="1:54">
      <c r="A97" s="74"/>
      <c r="B97" s="798" t="s">
        <v>0</v>
      </c>
      <c r="C97" s="160" t="s">
        <v>25</v>
      </c>
      <c r="D97" s="216"/>
      <c r="E97" s="242"/>
      <c r="F97" s="242"/>
      <c r="G97" s="242"/>
      <c r="H97" s="242"/>
      <c r="I97" s="242"/>
    </row>
    <row r="98" spans="1:54">
      <c r="A98" s="74"/>
      <c r="B98" s="799"/>
      <c r="C98" s="195" t="s">
        <v>26</v>
      </c>
      <c r="D98" s="217"/>
      <c r="E98" s="206"/>
      <c r="F98" s="206"/>
      <c r="G98" s="206"/>
      <c r="H98" s="206"/>
      <c r="I98" s="206"/>
    </row>
    <row r="99" spans="1:54">
      <c r="A99" s="74"/>
      <c r="B99" s="799"/>
      <c r="C99" s="197" t="s">
        <v>273</v>
      </c>
      <c r="D99" s="214"/>
      <c r="E99" s="95"/>
      <c r="F99" s="95"/>
      <c r="G99" s="95"/>
      <c r="H99" s="95"/>
      <c r="I99" s="95"/>
    </row>
    <row r="100" spans="1:54">
      <c r="A100" s="74"/>
      <c r="B100" s="800"/>
      <c r="C100" s="219"/>
      <c r="D100" s="215" t="s">
        <v>41</v>
      </c>
      <c r="E100" s="248">
        <f>IF(E21="","",IFERROR((E$98)-(E$99*E$98),""))</f>
        <v>0</v>
      </c>
      <c r="F100" s="248">
        <f>IF(F21="","",IFERROR((F$98)-(F$99*F$98),""))</f>
        <v>0</v>
      </c>
      <c r="G100" s="248">
        <f>IF(G21="","",IFERROR((G$98)-(G$99*G$98),""))</f>
        <v>0</v>
      </c>
      <c r="H100" s="248">
        <f>IF(H21="","",IFERROR((H$98)-(H$99*H$98),""))</f>
        <v>0</v>
      </c>
      <c r="I100" s="248" t="str">
        <f>IF(I21="","",IFERROR(ROUND((I$98)-(I$99*I$98),2),""))</f>
        <v/>
      </c>
    </row>
    <row r="101" spans="1:54">
      <c r="A101" s="74"/>
      <c r="B101" s="87" t="s">
        <v>3</v>
      </c>
      <c r="C101" s="88" t="s">
        <v>27</v>
      </c>
      <c r="D101" s="187"/>
      <c r="E101" s="384">
        <f>IFERROR(VLOOKUP(E$18,'Apoio - Posto'!$A:$AA,19,FALSE),"")</f>
        <v>0</v>
      </c>
      <c r="F101" s="384">
        <f>IFERROR(VLOOKUP(F$18,'Apoio - Posto'!$A:$AA,19,FALSE),"")</f>
        <v>0</v>
      </c>
      <c r="G101" s="384">
        <f>IFERROR(VLOOKUP(G$18,'Apoio - Posto'!$A:$AA,19,FALSE),"")</f>
        <v>0</v>
      </c>
      <c r="H101" s="384">
        <f>IFERROR(VLOOKUP(H$18,'Apoio - Posto'!$A:$AA,19,FALSE),"")</f>
        <v>0</v>
      </c>
      <c r="I101" s="384" t="str">
        <f>IFERROR(VLOOKUP(I$18,'Apoio - Posto'!$A:$AA,19,FALSE),"")</f>
        <v/>
      </c>
    </row>
    <row r="102" spans="1:54">
      <c r="A102" s="74"/>
      <c r="B102" s="185" t="s">
        <v>7</v>
      </c>
      <c r="C102" s="178" t="s">
        <v>28</v>
      </c>
      <c r="D102" s="186"/>
      <c r="E102" s="385"/>
      <c r="F102" s="385"/>
      <c r="G102" s="385"/>
      <c r="H102" s="385"/>
      <c r="I102" s="385"/>
    </row>
    <row r="103" spans="1:54">
      <c r="A103" s="74"/>
      <c r="B103" s="798" t="s">
        <v>6</v>
      </c>
      <c r="C103" s="193" t="s">
        <v>29</v>
      </c>
      <c r="D103" s="186"/>
      <c r="E103" s="241"/>
      <c r="F103" s="241"/>
      <c r="G103" s="241"/>
      <c r="H103" s="241"/>
      <c r="I103" s="241"/>
    </row>
    <row r="104" spans="1:54">
      <c r="A104" s="74"/>
      <c r="B104" s="799"/>
      <c r="C104" s="201" t="s">
        <v>26</v>
      </c>
      <c r="D104" s="218"/>
      <c r="E104" s="202"/>
      <c r="F104" s="202"/>
      <c r="G104" s="202"/>
      <c r="H104" s="202"/>
      <c r="I104" s="202"/>
    </row>
    <row r="105" spans="1:54">
      <c r="A105" s="74"/>
      <c r="B105" s="799"/>
      <c r="C105" s="203" t="s">
        <v>109</v>
      </c>
      <c r="D105" s="210"/>
      <c r="E105" s="205"/>
      <c r="F105" s="205"/>
      <c r="G105" s="205"/>
      <c r="H105" s="205"/>
      <c r="I105" s="205"/>
    </row>
    <row r="106" spans="1:54">
      <c r="A106" s="74"/>
      <c r="B106" s="800"/>
      <c r="C106" s="219"/>
      <c r="D106" s="215" t="s">
        <v>41</v>
      </c>
      <c r="E106" s="207">
        <f>IF(E21="","",IFERROR((E104)-(E$105*E$104),""))</f>
        <v>0</v>
      </c>
      <c r="F106" s="207">
        <f>IF(F21="","",IFERROR((F104)-(F$105*F$104),""))</f>
        <v>0</v>
      </c>
      <c r="G106" s="207">
        <f>IF(G21="","",IFERROR((G104)-(G$105*G$104),""))</f>
        <v>0</v>
      </c>
      <c r="H106" s="207">
        <f>IF(H21="","",IFERROR((H104)-(H$105*H$104),""))</f>
        <v>0</v>
      </c>
      <c r="I106" s="207" t="str">
        <f>IF(I21="","",IFERROR(ROUND((I104)-(I$105*I$104),2),""))</f>
        <v/>
      </c>
    </row>
    <row r="107" spans="1:54">
      <c r="A107" s="74"/>
      <c r="B107" s="185" t="s">
        <v>5</v>
      </c>
      <c r="C107" s="178" t="s">
        <v>30</v>
      </c>
      <c r="D107" s="188" t="str">
        <f>IFERROR(VLOOKUP(E18,'Apoio - Posto'!A:J,14,FALSE),"")</f>
        <v/>
      </c>
      <c r="E107" s="417">
        <f>IFERROR(VLOOKUP(E$18,'Apoio - Posto'!$A:$AA,18,FALSE),"")</f>
        <v>25.52</v>
      </c>
      <c r="F107" s="417">
        <f>IFERROR(VLOOKUP(F$18,'Apoio - Posto'!$A:$AA,18,FALSE),"")</f>
        <v>25.52</v>
      </c>
      <c r="G107" s="417">
        <f>IFERROR(VLOOKUP(G$18,'Apoio - Posto'!$A:$AA,18,FALSE),"")</f>
        <v>25.52</v>
      </c>
      <c r="H107" s="417">
        <f>IFERROR(VLOOKUP(H$18,'Apoio - Posto'!$A:$AA,18,FALSE),"")</f>
        <v>25.52</v>
      </c>
      <c r="I107" s="417" t="str">
        <f>IFERROR(VLOOKUP(I$18,'Apoio - Posto'!$A:$AA,18,FALSE),"")</f>
        <v/>
      </c>
      <c r="BB107" s="292"/>
    </row>
    <row r="108" spans="1:54">
      <c r="A108" s="74"/>
      <c r="B108" s="798" t="s">
        <v>4</v>
      </c>
      <c r="C108" s="695" t="s">
        <v>114</v>
      </c>
      <c r="D108" s="186"/>
      <c r="E108" s="238"/>
      <c r="F108" s="238"/>
      <c r="G108" s="238"/>
      <c r="H108" s="238"/>
      <c r="I108" s="238"/>
    </row>
    <row r="109" spans="1:54">
      <c r="A109" s="74"/>
      <c r="B109" s="799"/>
      <c r="C109" s="649" t="s">
        <v>272</v>
      </c>
      <c r="D109" s="650"/>
      <c r="E109" s="418">
        <f>IF(E23="SINDIVIGILANTES",80,
   IF(E23="SINDASSEIO",
      IF(OR(IFERROR(VALUE(LEFT(E26,FIND("h",E26)-1)),0)&gt;30,
            ISNUMBER(FIND("12x36",E26))),
         80,
         40),      ""))</f>
        <v>80</v>
      </c>
      <c r="F109" s="418">
        <f t="shared" ref="F109:I109" si="14">IF(F23="SINDIVIGILANTES",80,
   IF(F23="SINDASSEIO",
      IF(OR(IFERROR(VALUE(LEFT(F26,FIND("h",F26)-1)),0)&gt;30,
            ISNUMBER(FIND("12x36",F26))),
         80,
         40),      ""))</f>
        <v>80</v>
      </c>
      <c r="G109" s="418">
        <f t="shared" si="14"/>
        <v>80</v>
      </c>
      <c r="H109" s="418">
        <f t="shared" si="14"/>
        <v>80</v>
      </c>
      <c r="I109" s="418" t="str">
        <f t="shared" si="14"/>
        <v/>
      </c>
    </row>
    <row r="110" spans="1:54">
      <c r="A110" s="74"/>
      <c r="B110" s="807"/>
      <c r="C110" s="792" t="s">
        <v>273</v>
      </c>
      <c r="D110" s="652"/>
      <c r="E110" s="642"/>
      <c r="F110" s="642"/>
      <c r="G110" s="642"/>
      <c r="H110" s="642"/>
      <c r="I110" s="205"/>
    </row>
    <row r="111" spans="1:54">
      <c r="A111" s="74"/>
      <c r="B111" s="799"/>
      <c r="C111" s="792" t="s">
        <v>272</v>
      </c>
      <c r="D111" s="793"/>
      <c r="E111" s="794"/>
      <c r="F111" s="794"/>
      <c r="G111" s="794"/>
      <c r="H111" s="794"/>
      <c r="I111" s="794"/>
    </row>
    <row r="112" spans="1:54">
      <c r="A112" s="74"/>
      <c r="B112" s="799"/>
      <c r="C112" s="651" t="s">
        <v>273</v>
      </c>
      <c r="D112" s="652"/>
      <c r="E112" s="642"/>
      <c r="F112" s="642"/>
      <c r="G112" s="642"/>
      <c r="H112" s="642"/>
      <c r="I112" s="642"/>
    </row>
    <row r="113" spans="1:53">
      <c r="A113" s="74"/>
      <c r="B113" s="800"/>
      <c r="C113" s="97"/>
      <c r="D113" s="223" t="s">
        <v>41</v>
      </c>
      <c r="E113" s="209">
        <f>IF(E18="","",E111*(1-E112))</f>
        <v>0</v>
      </c>
      <c r="F113" s="209">
        <f>IF(F18="","",F111*(1-F112))</f>
        <v>0</v>
      </c>
      <c r="G113" s="209">
        <f>IF(G18="","",G111*(1-G112))</f>
        <v>0</v>
      </c>
      <c r="H113" s="209">
        <f>IF(H18="","",H111*(1-H112))</f>
        <v>0</v>
      </c>
      <c r="I113" s="209" t="str">
        <f>IF(I18="","",I111*(1-I112))</f>
        <v/>
      </c>
    </row>
    <row r="114" spans="1:53" s="5" customFormat="1">
      <c r="A114" s="76"/>
      <c r="B114" s="189"/>
      <c r="C114" s="190" t="s">
        <v>117</v>
      </c>
      <c r="D114" s="191"/>
      <c r="E114" s="192">
        <f>IF(E21="","",SUM(E91,E96,E100,E101,E102,E106,E107,E113))</f>
        <v>636.58140000000003</v>
      </c>
      <c r="F114" s="192">
        <f>IF(F21="","",SUM(F91,F96,F100,F101,F102,F106,F107,F113))</f>
        <v>636.58140000000003</v>
      </c>
      <c r="G114" s="192">
        <f>IF(G21="","",SUM(G91,G96,G100,G101,G102,G106,G107,G113))</f>
        <v>607.9043999999999</v>
      </c>
      <c r="H114" s="192">
        <f>IF(H21="","",SUM(H91,H96,H100,H101,H102,H106,H107,H113))</f>
        <v>607.9043999999999</v>
      </c>
      <c r="I114" s="192" t="str">
        <f>IF(I21="","",SUM(I91,I96,I100,I101,I102,I106,I107,I113))</f>
        <v/>
      </c>
      <c r="J114" s="293"/>
      <c r="K114" s="293"/>
      <c r="L114" s="293"/>
      <c r="M114" s="293"/>
      <c r="N114" s="293"/>
      <c r="O114" s="293"/>
      <c r="P114" s="293"/>
      <c r="Q114" s="293"/>
      <c r="R114" s="293"/>
      <c r="S114" s="293"/>
      <c r="T114" s="293"/>
      <c r="U114" s="293"/>
      <c r="V114" s="293"/>
      <c r="W114" s="293"/>
      <c r="X114" s="293"/>
      <c r="Y114" s="293"/>
      <c r="Z114" s="293"/>
      <c r="AA114" s="293"/>
      <c r="AB114" s="293"/>
      <c r="AC114" s="293"/>
      <c r="AD114" s="293"/>
      <c r="AE114" s="293"/>
      <c r="AF114" s="293"/>
      <c r="AG114" s="293"/>
      <c r="AH114" s="293"/>
      <c r="AI114" s="293"/>
      <c r="AJ114" s="293"/>
      <c r="AK114" s="293"/>
      <c r="AL114" s="293"/>
      <c r="AM114" s="293"/>
      <c r="AN114" s="293"/>
      <c r="AO114" s="293"/>
      <c r="AP114" s="293"/>
      <c r="AQ114" s="293"/>
      <c r="AR114" s="293"/>
      <c r="AS114" s="293"/>
      <c r="AT114" s="293"/>
      <c r="AU114" s="293"/>
      <c r="AV114" s="293"/>
      <c r="AW114" s="293"/>
      <c r="AX114" s="293"/>
      <c r="AY114" s="293"/>
      <c r="AZ114" s="293"/>
      <c r="BA114" s="293"/>
    </row>
    <row r="115" spans="1:53" customFormat="1" ht="3.75" customHeight="1">
      <c r="J115" s="42"/>
      <c r="K115" s="42"/>
      <c r="L115" s="42"/>
      <c r="M115" s="42"/>
      <c r="N115" s="42"/>
      <c r="O115" s="42"/>
      <c r="P115" s="42"/>
      <c r="Q115" s="42"/>
      <c r="R115" s="42"/>
      <c r="S115" s="42"/>
      <c r="T115" s="42"/>
      <c r="U115" s="42"/>
      <c r="V115" s="42"/>
      <c r="W115" s="42"/>
      <c r="X115" s="42"/>
      <c r="Y115" s="42"/>
      <c r="Z115" s="42"/>
      <c r="AA115" s="42"/>
      <c r="AB115" s="42"/>
      <c r="AC115" s="42"/>
      <c r="AD115" s="42"/>
      <c r="AE115" s="42"/>
      <c r="AF115" s="42"/>
      <c r="AG115" s="42"/>
      <c r="AH115" s="42"/>
      <c r="AI115" s="42"/>
      <c r="AJ115" s="42"/>
      <c r="AK115" s="42"/>
      <c r="AL115" s="42"/>
      <c r="AM115" s="42"/>
      <c r="AN115" s="42"/>
      <c r="AO115" s="42"/>
      <c r="AP115" s="42"/>
      <c r="AQ115" s="42"/>
      <c r="AR115" s="42"/>
      <c r="AS115" s="42"/>
      <c r="AT115" s="42"/>
      <c r="AU115" s="42"/>
      <c r="AV115" s="42"/>
      <c r="AW115" s="42"/>
      <c r="AX115" s="42"/>
      <c r="AY115" s="42"/>
      <c r="AZ115" s="42"/>
      <c r="BA115" s="42"/>
    </row>
    <row r="116" spans="1:53" s="5" customFormat="1">
      <c r="A116" s="73"/>
      <c r="B116" s="157"/>
      <c r="C116" s="90" t="s">
        <v>115</v>
      </c>
      <c r="D116" s="153"/>
      <c r="E116" s="154">
        <f>IF(E21="","",IFERROR(SUM(E114,E83,E69),""))</f>
        <v>2203.958736</v>
      </c>
      <c r="F116" s="155">
        <f>IF(F21="","",IFERROR(SUM(F114,F83,F69),""))</f>
        <v>2203.958736</v>
      </c>
      <c r="G116" s="452">
        <f>IF(G21="","",IFERROR(SUM(G114,G83,G69),""))</f>
        <v>2457.2526019999996</v>
      </c>
      <c r="H116" s="155">
        <f>IF(H21="","",IFERROR(SUM(H114,H83,H69),""))</f>
        <v>2741.7677100000001</v>
      </c>
      <c r="I116" s="156" t="str">
        <f>IF(I21="","",IFERROR(SUM(I114,I83,I69),""))</f>
        <v/>
      </c>
      <c r="J116" s="293"/>
      <c r="K116" s="293"/>
      <c r="L116" s="293"/>
      <c r="M116" s="293"/>
      <c r="N116" s="293"/>
      <c r="O116" s="293"/>
      <c r="P116" s="293"/>
      <c r="Q116" s="293"/>
      <c r="R116" s="293"/>
      <c r="S116" s="293"/>
      <c r="T116" s="293"/>
      <c r="U116" s="293"/>
      <c r="V116" s="293"/>
      <c r="W116" s="293"/>
      <c r="X116" s="293"/>
      <c r="Y116" s="293"/>
      <c r="Z116" s="293"/>
      <c r="AA116" s="293"/>
      <c r="AB116" s="293"/>
      <c r="AC116" s="293"/>
      <c r="AD116" s="293"/>
      <c r="AE116" s="293"/>
      <c r="AF116" s="293"/>
      <c r="AG116" s="293"/>
      <c r="AH116" s="293"/>
      <c r="AI116" s="293"/>
      <c r="AJ116" s="293"/>
      <c r="AK116" s="293"/>
      <c r="AL116" s="293"/>
      <c r="AM116" s="293"/>
      <c r="AN116" s="293"/>
      <c r="AO116" s="293"/>
      <c r="AP116" s="293"/>
      <c r="AQ116" s="293"/>
      <c r="AR116" s="293"/>
      <c r="AS116" s="293"/>
      <c r="AT116" s="293"/>
      <c r="AU116" s="293"/>
      <c r="AV116" s="293"/>
      <c r="AW116" s="293"/>
      <c r="AX116" s="293"/>
      <c r="AY116" s="293"/>
      <c r="AZ116" s="293"/>
      <c r="BA116" s="293"/>
    </row>
    <row r="117" spans="1:53" s="6" customFormat="1">
      <c r="B117" s="7"/>
      <c r="C117" s="7"/>
      <c r="D117" s="7"/>
      <c r="E117" s="8"/>
      <c r="F117" s="8"/>
      <c r="G117" s="8"/>
      <c r="H117" s="8"/>
      <c r="I117" s="8"/>
      <c r="J117" s="295"/>
      <c r="K117" s="295"/>
      <c r="L117" s="295"/>
      <c r="M117" s="295"/>
      <c r="N117" s="295"/>
      <c r="O117" s="295"/>
      <c r="P117" s="295"/>
      <c r="Q117" s="295"/>
      <c r="R117" s="295"/>
      <c r="S117" s="295"/>
      <c r="T117" s="295"/>
      <c r="U117" s="295"/>
      <c r="V117" s="295"/>
      <c r="W117" s="295"/>
      <c r="X117" s="295"/>
      <c r="Y117" s="295"/>
      <c r="Z117" s="295"/>
      <c r="AA117" s="295"/>
      <c r="AB117" s="295"/>
      <c r="AC117" s="295"/>
      <c r="AD117" s="295"/>
      <c r="AE117" s="295"/>
      <c r="AF117" s="295"/>
      <c r="AG117" s="295"/>
      <c r="AH117" s="295"/>
      <c r="AI117" s="295"/>
      <c r="AJ117" s="295"/>
      <c r="AK117" s="295"/>
      <c r="AL117" s="295"/>
      <c r="AM117" s="295"/>
      <c r="AN117" s="295"/>
      <c r="AO117" s="295"/>
      <c r="AP117" s="295"/>
      <c r="AQ117" s="295"/>
      <c r="AR117" s="295"/>
      <c r="AS117" s="295"/>
      <c r="AT117" s="295"/>
      <c r="AU117" s="295"/>
      <c r="AV117" s="295"/>
      <c r="AW117" s="295"/>
      <c r="AX117" s="295"/>
      <c r="AY117" s="295"/>
      <c r="AZ117" s="295"/>
      <c r="BA117" s="295"/>
    </row>
    <row r="118" spans="1:53" s="6" customFormat="1">
      <c r="A118" s="74"/>
      <c r="B118" s="89"/>
      <c r="C118" s="90" t="s">
        <v>127</v>
      </c>
      <c r="D118" s="91"/>
      <c r="E118" s="369"/>
      <c r="F118" s="451"/>
      <c r="G118" s="369"/>
      <c r="H118" s="369"/>
      <c r="I118" s="369"/>
      <c r="J118" s="295"/>
      <c r="K118" s="295"/>
      <c r="L118" s="295"/>
      <c r="M118" s="295"/>
      <c r="N118" s="295"/>
      <c r="O118" s="295"/>
      <c r="P118" s="295"/>
      <c r="Q118" s="295"/>
      <c r="R118" s="295"/>
      <c r="S118" s="295"/>
      <c r="T118" s="295"/>
      <c r="U118" s="295"/>
      <c r="V118" s="295"/>
      <c r="W118" s="295"/>
      <c r="X118" s="295"/>
      <c r="Y118" s="295"/>
      <c r="Z118" s="295"/>
      <c r="AA118" s="295"/>
      <c r="AB118" s="295"/>
      <c r="AC118" s="295"/>
      <c r="AD118" s="295"/>
      <c r="AE118" s="295"/>
      <c r="AF118" s="295"/>
      <c r="AG118" s="295"/>
      <c r="AH118" s="295"/>
      <c r="AI118" s="295"/>
      <c r="AJ118" s="295"/>
      <c r="AK118" s="295"/>
      <c r="AL118" s="295"/>
      <c r="AM118" s="295"/>
      <c r="AN118" s="295"/>
      <c r="AO118" s="295"/>
      <c r="AP118" s="295"/>
      <c r="AQ118" s="295"/>
      <c r="AR118" s="295"/>
      <c r="AS118" s="295"/>
      <c r="AT118" s="295"/>
      <c r="AU118" s="295"/>
      <c r="AV118" s="295"/>
      <c r="AW118" s="295"/>
      <c r="AX118" s="295"/>
      <c r="AY118" s="295"/>
      <c r="AZ118" s="295"/>
      <c r="BA118" s="295"/>
    </row>
    <row r="119" spans="1:53" s="13" customFormat="1">
      <c r="A119" s="77"/>
      <c r="B119" s="87" t="s">
        <v>2</v>
      </c>
      <c r="C119" s="88" t="s">
        <v>221</v>
      </c>
      <c r="D119" s="406">
        <f>INDEX('Apoio - Notas Explicativas'!Q:Q,MATCH(C119,'Apoio - Notas Explicativas'!C:C,0))</f>
        <v>4.1999999999999997E-3</v>
      </c>
      <c r="E119" s="99">
        <f t="shared" ref="E119:E124" si="15">IFERROR($D119*E$61,"")</f>
        <v>10.383256799999998</v>
      </c>
      <c r="F119" s="99">
        <f t="shared" ref="F119:H124" si="16">IFERROR($D119*F$61,"")</f>
        <v>10.3832568</v>
      </c>
      <c r="G119" s="99">
        <f t="shared" si="16"/>
        <v>12.251202599999999</v>
      </c>
      <c r="H119" s="99">
        <f t="shared" si="16"/>
        <v>14.136003000000001</v>
      </c>
      <c r="I119" s="137" t="str">
        <f t="shared" ref="I119:I124" si="17">IFERROR(ROUND($D119*I$61,2),"")</f>
        <v/>
      </c>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row>
    <row r="120" spans="1:53" s="13" customFormat="1">
      <c r="A120" s="77"/>
      <c r="B120" s="87" t="s">
        <v>1</v>
      </c>
      <c r="C120" s="88" t="s">
        <v>31</v>
      </c>
      <c r="D120" s="406">
        <f>INDEX('Apoio - Notas Explicativas'!Q:Q,MATCH(C120,'Apoio - Notas Explicativas'!C:C,0))</f>
        <v>2.9999999999999997E-4</v>
      </c>
      <c r="E120" s="99">
        <f t="shared" si="15"/>
        <v>0.7416611999999998</v>
      </c>
      <c r="F120" s="99">
        <f t="shared" si="16"/>
        <v>0.74166120000000002</v>
      </c>
      <c r="G120" s="99">
        <f t="shared" si="16"/>
        <v>0.87508589999999986</v>
      </c>
      <c r="H120" s="99">
        <f t="shared" si="16"/>
        <v>1.0097144999999998</v>
      </c>
      <c r="I120" s="137" t="str">
        <f t="shared" si="17"/>
        <v/>
      </c>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row>
    <row r="121" spans="1:53" s="13" customFormat="1">
      <c r="A121" s="77"/>
      <c r="B121" s="87" t="s">
        <v>0</v>
      </c>
      <c r="C121" s="88" t="s">
        <v>553</v>
      </c>
      <c r="D121" s="406">
        <f>INDEX('Apoio - Notas Explicativas'!Q:Q,MATCH(C121,'Apoio - Notas Explicativas'!C:C,0))</f>
        <v>1E-4</v>
      </c>
      <c r="E121" s="99">
        <f t="shared" si="15"/>
        <v>0.24722039999999998</v>
      </c>
      <c r="F121" s="99">
        <f t="shared" si="16"/>
        <v>0.24722040000000003</v>
      </c>
      <c r="G121" s="99">
        <f t="shared" si="16"/>
        <v>0.29169529999999999</v>
      </c>
      <c r="H121" s="99">
        <f t="shared" si="16"/>
        <v>0.33657150000000002</v>
      </c>
      <c r="I121" s="137" t="str">
        <f t="shared" si="17"/>
        <v/>
      </c>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row>
    <row r="122" spans="1:53" s="13" customFormat="1">
      <c r="A122" s="77"/>
      <c r="B122" s="87" t="s">
        <v>3</v>
      </c>
      <c r="C122" s="88" t="s">
        <v>32</v>
      </c>
      <c r="D122" s="406">
        <f>INDEX('Apoio - Notas Explicativas'!Q:Q,MATCH(C122,'Apoio - Notas Explicativas'!C:C,0))</f>
        <v>1.9199999999999998E-2</v>
      </c>
      <c r="E122" s="99">
        <f t="shared" si="15"/>
        <v>47.466316799999987</v>
      </c>
      <c r="F122" s="99">
        <f t="shared" si="16"/>
        <v>47.466316800000001</v>
      </c>
      <c r="G122" s="99">
        <f t="shared" si="16"/>
        <v>56.005497599999991</v>
      </c>
      <c r="H122" s="99">
        <f t="shared" si="16"/>
        <v>64.62172799999999</v>
      </c>
      <c r="I122" s="137" t="str">
        <f t="shared" si="17"/>
        <v/>
      </c>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c r="BA122" s="24"/>
    </row>
    <row r="123" spans="1:53" s="13" customFormat="1">
      <c r="A123" s="77"/>
      <c r="B123" s="87" t="s">
        <v>7</v>
      </c>
      <c r="C123" s="88" t="s">
        <v>33</v>
      </c>
      <c r="D123" s="406">
        <f>INDEX('Apoio - Notas Explicativas'!Q:Q,MATCH(C123,'Apoio - Notas Explicativas'!C:C,0))</f>
        <v>7.1000000000000004E-3</v>
      </c>
      <c r="E123" s="99">
        <f t="shared" si="15"/>
        <v>17.552648399999999</v>
      </c>
      <c r="F123" s="99">
        <f t="shared" si="16"/>
        <v>17.552648400000002</v>
      </c>
      <c r="G123" s="99">
        <f t="shared" si="16"/>
        <v>20.7103663</v>
      </c>
      <c r="H123" s="99">
        <f t="shared" si="16"/>
        <v>23.896576500000002</v>
      </c>
      <c r="I123" s="137" t="str">
        <f t="shared" si="17"/>
        <v/>
      </c>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c r="AG123" s="24"/>
      <c r="AH123" s="24"/>
      <c r="AI123" s="24"/>
      <c r="AJ123" s="24"/>
      <c r="AK123" s="24"/>
      <c r="AL123" s="24"/>
      <c r="AM123" s="24"/>
      <c r="AN123" s="24"/>
      <c r="AO123" s="24"/>
      <c r="AP123" s="24"/>
      <c r="AQ123" s="24"/>
      <c r="AR123" s="24"/>
      <c r="AS123" s="24"/>
      <c r="AT123" s="24"/>
      <c r="AU123" s="24"/>
      <c r="AV123" s="24"/>
      <c r="AW123" s="24"/>
      <c r="AX123" s="24"/>
      <c r="AY123" s="24"/>
      <c r="AZ123" s="24"/>
      <c r="BA123" s="24"/>
    </row>
    <row r="124" spans="1:53" s="13" customFormat="1">
      <c r="A124" s="77"/>
      <c r="B124" s="87" t="s">
        <v>6</v>
      </c>
      <c r="C124" s="88" t="s">
        <v>34</v>
      </c>
      <c r="D124" s="406">
        <f>INDEX('Apoio - Notas Explicativas'!Q:Q,MATCH(C124,'Apoio - Notas Explicativas'!C:C,0))</f>
        <v>0.04</v>
      </c>
      <c r="E124" s="99">
        <f t="shared" si="15"/>
        <v>98.888159999999985</v>
      </c>
      <c r="F124" s="99">
        <f t="shared" si="16"/>
        <v>98.888160000000013</v>
      </c>
      <c r="G124" s="99">
        <f t="shared" si="16"/>
        <v>116.67812000000001</v>
      </c>
      <c r="H124" s="99">
        <f t="shared" si="16"/>
        <v>134.62860000000001</v>
      </c>
      <c r="I124" s="137" t="str">
        <f t="shared" si="17"/>
        <v/>
      </c>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c r="AG124" s="24"/>
      <c r="AH124" s="24"/>
      <c r="AI124" s="24"/>
      <c r="AJ124" s="24"/>
      <c r="AK124" s="24"/>
      <c r="AL124" s="24"/>
      <c r="AM124" s="24"/>
      <c r="AN124" s="24"/>
      <c r="AO124" s="24"/>
      <c r="AP124" s="24"/>
      <c r="AQ124" s="24"/>
      <c r="AR124" s="24"/>
      <c r="AS124" s="24"/>
      <c r="AT124" s="24"/>
      <c r="AU124" s="24"/>
      <c r="AV124" s="24"/>
      <c r="AW124" s="24"/>
      <c r="AX124" s="24"/>
      <c r="AY124" s="24"/>
      <c r="AZ124" s="24"/>
      <c r="BA124" s="24"/>
    </row>
    <row r="125" spans="1:53" s="5" customFormat="1">
      <c r="A125" s="73"/>
      <c r="B125" s="157"/>
      <c r="C125" s="90" t="s">
        <v>116</v>
      </c>
      <c r="D125" s="153"/>
      <c r="E125" s="155">
        <f>IF(SUM(E119:E124)=0,"",SUM(E119:E124))</f>
        <v>175.27926359999998</v>
      </c>
      <c r="F125" s="155">
        <f t="shared" ref="F125:H125" si="18">IF(SUM(F119:F124)=0,"",SUM(F119:F124))</f>
        <v>175.27926360000004</v>
      </c>
      <c r="G125" s="155">
        <f t="shared" si="18"/>
        <v>206.8119677</v>
      </c>
      <c r="H125" s="155">
        <f t="shared" si="18"/>
        <v>238.62919349999999</v>
      </c>
      <c r="I125" s="156" t="str">
        <f>IF(SUM(I119:I124)=0,"",SUM(I119:I124))</f>
        <v/>
      </c>
      <c r="J125" s="293"/>
      <c r="K125" s="293"/>
      <c r="L125" s="293"/>
      <c r="M125" s="293"/>
      <c r="N125" s="293"/>
      <c r="O125" s="293"/>
      <c r="P125" s="293"/>
      <c r="Q125" s="293"/>
      <c r="R125" s="293"/>
      <c r="S125" s="293"/>
      <c r="T125" s="293"/>
      <c r="U125" s="293"/>
      <c r="V125" s="293"/>
      <c r="W125" s="293"/>
      <c r="X125" s="293"/>
      <c r="Y125" s="293"/>
      <c r="Z125" s="293"/>
      <c r="AA125" s="293"/>
      <c r="AB125" s="293"/>
      <c r="AC125" s="293"/>
      <c r="AD125" s="293"/>
      <c r="AE125" s="293"/>
      <c r="AF125" s="293"/>
      <c r="AG125" s="293"/>
      <c r="AH125" s="293"/>
      <c r="AI125" s="293"/>
      <c r="AJ125" s="293"/>
      <c r="AK125" s="293"/>
      <c r="AL125" s="293"/>
      <c r="AM125" s="293"/>
      <c r="AN125" s="293"/>
      <c r="AO125" s="293"/>
      <c r="AP125" s="293"/>
      <c r="AQ125" s="293"/>
      <c r="AR125" s="293"/>
      <c r="AS125" s="293"/>
      <c r="AT125" s="293"/>
      <c r="AU125" s="293"/>
      <c r="AV125" s="293"/>
      <c r="AW125" s="293"/>
      <c r="AX125" s="293"/>
      <c r="AY125" s="293"/>
      <c r="AZ125" s="293"/>
      <c r="BA125" s="293"/>
    </row>
    <row r="126" spans="1:53" s="18" customFormat="1">
      <c r="A126" s="17"/>
      <c r="D126" s="14"/>
      <c r="E126" s="19"/>
      <c r="F126" s="19"/>
      <c r="G126" s="19"/>
      <c r="H126" s="19"/>
      <c r="I126" s="19"/>
      <c r="J126" s="296"/>
      <c r="K126" s="296"/>
      <c r="L126" s="296"/>
      <c r="M126" s="296"/>
      <c r="N126" s="296"/>
      <c r="O126" s="296"/>
      <c r="P126" s="296"/>
      <c r="Q126" s="296"/>
      <c r="R126" s="296"/>
      <c r="S126" s="296"/>
      <c r="T126" s="296"/>
      <c r="U126" s="296"/>
      <c r="V126" s="296"/>
      <c r="W126" s="296"/>
      <c r="X126" s="296"/>
      <c r="Y126" s="296"/>
      <c r="Z126" s="296"/>
      <c r="AA126" s="296"/>
      <c r="AB126" s="296"/>
      <c r="AC126" s="296"/>
      <c r="AD126" s="296"/>
      <c r="AE126" s="296"/>
      <c r="AF126" s="296"/>
      <c r="AG126" s="296"/>
      <c r="AH126" s="296"/>
      <c r="AI126" s="296"/>
      <c r="AJ126" s="296"/>
      <c r="AK126" s="296"/>
      <c r="AL126" s="296"/>
      <c r="AM126" s="296"/>
      <c r="AN126" s="296"/>
      <c r="AO126" s="296"/>
      <c r="AP126" s="296"/>
      <c r="AQ126" s="296"/>
      <c r="AR126" s="296"/>
      <c r="AS126" s="296"/>
      <c r="AT126" s="296"/>
      <c r="AU126" s="296"/>
      <c r="AV126" s="296"/>
      <c r="AW126" s="296"/>
      <c r="AX126" s="296"/>
      <c r="AY126" s="296"/>
      <c r="AZ126" s="296"/>
      <c r="BA126" s="296"/>
    </row>
    <row r="127" spans="1:53" s="6" customFormat="1">
      <c r="A127" s="74"/>
      <c r="B127" s="89"/>
      <c r="C127" s="90" t="s">
        <v>128</v>
      </c>
      <c r="D127" s="91"/>
      <c r="E127" s="369"/>
      <c r="F127" s="369"/>
      <c r="G127" s="369"/>
      <c r="H127" s="369"/>
      <c r="I127" s="369"/>
      <c r="J127" s="295"/>
      <c r="K127" s="295"/>
      <c r="L127" s="295"/>
      <c r="M127" s="295"/>
      <c r="N127" s="295"/>
      <c r="O127" s="295"/>
      <c r="P127" s="295"/>
      <c r="Q127" s="295"/>
      <c r="R127" s="295"/>
      <c r="S127" s="295"/>
      <c r="T127" s="295"/>
      <c r="U127" s="295"/>
      <c r="V127" s="295"/>
      <c r="W127" s="295"/>
      <c r="X127" s="295"/>
      <c r="Y127" s="295"/>
      <c r="Z127" s="295"/>
      <c r="AA127" s="295"/>
      <c r="AB127" s="295"/>
      <c r="AC127" s="295"/>
      <c r="AD127" s="295"/>
      <c r="AE127" s="295"/>
      <c r="AF127" s="295"/>
      <c r="AG127" s="295"/>
      <c r="AH127" s="295"/>
      <c r="AI127" s="295"/>
      <c r="AJ127" s="295"/>
      <c r="AK127" s="295"/>
      <c r="AL127" s="295"/>
      <c r="AM127" s="295"/>
      <c r="AN127" s="295"/>
      <c r="AO127" s="295"/>
      <c r="AP127" s="295"/>
      <c r="AQ127" s="295"/>
      <c r="AR127" s="295"/>
      <c r="AS127" s="295"/>
      <c r="AT127" s="295"/>
      <c r="AU127" s="295"/>
      <c r="AV127" s="295"/>
      <c r="AW127" s="295"/>
      <c r="AX127" s="295"/>
      <c r="AY127" s="295"/>
      <c r="AZ127" s="295"/>
      <c r="BA127" s="295"/>
    </row>
    <row r="128" spans="1:53" customFormat="1" ht="3.75" customHeight="1">
      <c r="J128" s="42"/>
      <c r="K128" s="42"/>
      <c r="L128" s="42"/>
      <c r="M128" s="42"/>
      <c r="N128" s="42"/>
      <c r="O128" s="42"/>
      <c r="P128" s="42"/>
      <c r="Q128" s="42"/>
      <c r="R128" s="42"/>
      <c r="S128" s="42"/>
      <c r="T128" s="42"/>
      <c r="U128" s="42"/>
      <c r="V128" s="42"/>
      <c r="W128" s="42"/>
      <c r="X128" s="42"/>
      <c r="Y128" s="42"/>
      <c r="Z128" s="42"/>
      <c r="AA128" s="42"/>
      <c r="AB128" s="42"/>
      <c r="AC128" s="42"/>
      <c r="AD128" s="42"/>
      <c r="AE128" s="42"/>
      <c r="AF128" s="42"/>
      <c r="AG128" s="42"/>
      <c r="AH128" s="42"/>
      <c r="AI128" s="42"/>
      <c r="AJ128" s="42"/>
      <c r="AK128" s="42"/>
      <c r="AL128" s="42"/>
      <c r="AM128" s="42"/>
      <c r="AN128" s="42"/>
      <c r="AO128" s="42"/>
      <c r="AP128" s="42"/>
      <c r="AQ128" s="42"/>
      <c r="AR128" s="42"/>
      <c r="AS128" s="42"/>
      <c r="AT128" s="42"/>
      <c r="AU128" s="42"/>
      <c r="AV128" s="42"/>
      <c r="AW128" s="42"/>
      <c r="AX128" s="42"/>
      <c r="AY128" s="42"/>
      <c r="AZ128" s="42"/>
      <c r="BA128" s="42"/>
    </row>
    <row r="129" spans="1:53" s="6" customFormat="1">
      <c r="A129" s="75"/>
      <c r="B129" s="171"/>
      <c r="C129" s="172" t="s">
        <v>179</v>
      </c>
      <c r="D129" s="173"/>
      <c r="E129" s="176"/>
      <c r="F129" s="174"/>
      <c r="G129" s="174"/>
      <c r="H129" s="174"/>
      <c r="I129" s="174"/>
      <c r="J129" s="295"/>
      <c r="K129" s="295"/>
      <c r="L129" s="295"/>
      <c r="M129" s="295"/>
      <c r="N129" s="295"/>
      <c r="O129" s="295"/>
      <c r="P129" s="295"/>
      <c r="Q129" s="295"/>
      <c r="R129" s="295"/>
      <c r="S129" s="295"/>
      <c r="T129" s="295"/>
      <c r="U129" s="295"/>
      <c r="V129" s="295"/>
      <c r="W129" s="295"/>
      <c r="X129" s="295"/>
      <c r="Y129" s="295"/>
      <c r="Z129" s="295"/>
      <c r="AA129" s="295"/>
      <c r="AB129" s="295"/>
      <c r="AC129" s="295"/>
      <c r="AD129" s="295"/>
      <c r="AE129" s="295"/>
      <c r="AF129" s="295"/>
      <c r="AG129" s="295"/>
      <c r="AH129" s="295"/>
      <c r="AI129" s="295"/>
      <c r="AJ129" s="295"/>
      <c r="AK129" s="295"/>
      <c r="AL129" s="295"/>
      <c r="AM129" s="295"/>
      <c r="AN129" s="295"/>
      <c r="AO129" s="295"/>
      <c r="AP129" s="295"/>
      <c r="AQ129" s="295"/>
      <c r="AR129" s="295"/>
      <c r="AS129" s="295"/>
      <c r="AT129" s="295"/>
      <c r="AU129" s="295"/>
      <c r="AV129" s="295"/>
      <c r="AW129" s="295"/>
      <c r="AX129" s="295"/>
      <c r="AY129" s="295"/>
      <c r="AZ129" s="295"/>
      <c r="BA129" s="295"/>
    </row>
    <row r="130" spans="1:53" s="13" customFormat="1">
      <c r="A130" s="78"/>
      <c r="B130" s="87" t="s">
        <v>2</v>
      </c>
      <c r="C130" s="88" t="s">
        <v>35</v>
      </c>
      <c r="D130" s="406">
        <f>INDEX('Apoio - Notas Explicativas'!$Q:$Q,MATCH(C130,'Apoio - Notas Explicativas'!$C:$C,0))</f>
        <v>1.6199999999999999E-2</v>
      </c>
      <c r="E130" s="99">
        <f>IF(E21="","",IFERROR($D130*SUM(E$61),""))</f>
        <v>40.049704799999994</v>
      </c>
      <c r="F130" s="137">
        <f>IF(F21="","",IFERROR($D130*SUM(F$61),""))</f>
        <v>40.049704800000001</v>
      </c>
      <c r="G130" s="137">
        <f>IF(G21="","",IFERROR($D130*SUM(G$61),""))</f>
        <v>47.2546386</v>
      </c>
      <c r="H130" s="137">
        <f>IF(H21="","",IFERROR($D130*SUM(H$61),""))</f>
        <v>54.524583</v>
      </c>
      <c r="I130" s="137" t="str">
        <f>IF(I21="","",IFERROR(ROUND($D130*SUM(I$61),2),""))</f>
        <v/>
      </c>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c r="AY130" s="24"/>
      <c r="AZ130" s="24"/>
      <c r="BA130" s="24"/>
    </row>
    <row r="131" spans="1:53" s="13" customFormat="1">
      <c r="A131" s="78"/>
      <c r="B131" s="87" t="s">
        <v>1</v>
      </c>
      <c r="C131" s="88" t="s">
        <v>187</v>
      </c>
      <c r="D131" s="406">
        <f>INDEX('Apoio - Notas Explicativas'!$Q:$Q,MATCH(C131,'Apoio - Notas Explicativas'!$C:$C,0))</f>
        <v>1.37E-2</v>
      </c>
      <c r="E131" s="99">
        <f>IFERROR($D131*(E61+E66+E67),"")</f>
        <v>40.453366269119996</v>
      </c>
      <c r="F131" s="137">
        <f t="shared" ref="F131:H131" si="19">IFERROR($D131*(F61+F66+F67),"")</f>
        <v>40.453366269120004</v>
      </c>
      <c r="G131" s="137">
        <f t="shared" si="19"/>
        <v>47.730918685840003</v>
      </c>
      <c r="H131" s="137">
        <f t="shared" si="19"/>
        <v>55.074136945200003</v>
      </c>
      <c r="I131" s="137" t="str">
        <f>IFERROR(ROUND($D131*(I61+I66+I67),2),"")</f>
        <v/>
      </c>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c r="BA131" s="24"/>
    </row>
    <row r="132" spans="1:53" s="13" customFormat="1">
      <c r="A132" s="78"/>
      <c r="B132" s="87" t="s">
        <v>0</v>
      </c>
      <c r="C132" s="88" t="s">
        <v>36</v>
      </c>
      <c r="D132" s="406">
        <f>INDEX('Apoio - Notas Explicativas'!$Q:$Q,MATCH(C132,'Apoio - Notas Explicativas'!$C:$C,0))</f>
        <v>2.0000000000000001E-4</v>
      </c>
      <c r="E132" s="99">
        <f>IFERROR($D132*(E61+E66+E67),"")</f>
        <v>0.59056009152</v>
      </c>
      <c r="F132" s="137">
        <f t="shared" ref="F132:H132" si="20">IFERROR($D132*(F61+F66+F67),"")</f>
        <v>0.59056009152000011</v>
      </c>
      <c r="G132" s="137">
        <f t="shared" si="20"/>
        <v>0.69680173264000012</v>
      </c>
      <c r="H132" s="137">
        <f t="shared" si="20"/>
        <v>0.80400199920000004</v>
      </c>
      <c r="I132" s="137" t="str">
        <f>IFERROR(ROUND($D132*(I61+I66+I67),2),"")</f>
        <v/>
      </c>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c r="BA132" s="24"/>
    </row>
    <row r="133" spans="1:53" s="13" customFormat="1">
      <c r="A133" s="78"/>
      <c r="B133" s="87" t="s">
        <v>3</v>
      </c>
      <c r="C133" s="88" t="s">
        <v>37</v>
      </c>
      <c r="D133" s="406">
        <f>INDEX('Apoio - Notas Explicativas'!$Q:$Q,MATCH(C133,'Apoio - Notas Explicativas'!$C:$C,0))</f>
        <v>8.0999999999999996E-3</v>
      </c>
      <c r="E133" s="99">
        <f>IFERROR($D133*(E61+E66+E67),"")</f>
        <v>23.917683706559998</v>
      </c>
      <c r="F133" s="137">
        <f t="shared" ref="F133:H133" si="21">IFERROR($D133*(F61+F66+F67),"")</f>
        <v>23.917683706560002</v>
      </c>
      <c r="G133" s="137">
        <f t="shared" si="21"/>
        <v>28.220470171919999</v>
      </c>
      <c r="H133" s="137">
        <f t="shared" si="21"/>
        <v>32.562080967600004</v>
      </c>
      <c r="I133" s="137" t="str">
        <f>IFERROR(ROUND($D133*(I61+I66+I67),2),"")</f>
        <v/>
      </c>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c r="AY133" s="24"/>
      <c r="AZ133" s="24"/>
      <c r="BA133" s="24"/>
    </row>
    <row r="134" spans="1:53" s="13" customFormat="1">
      <c r="A134" s="78"/>
      <c r="B134" s="87" t="s">
        <v>7</v>
      </c>
      <c r="C134" s="88" t="s">
        <v>188</v>
      </c>
      <c r="D134" s="406">
        <f>INDEX('Apoio - Notas Explicativas'!$Q:$Q,MATCH(C134,'Apoio - Notas Explicativas'!$C:$C,0))</f>
        <v>2.9999999999999997E-4</v>
      </c>
      <c r="E134" s="99">
        <f>IFERROR($D134*(E61+E66+E67),"")</f>
        <v>0.88584013727999988</v>
      </c>
      <c r="F134" s="137">
        <f t="shared" ref="F134:H134" si="22">IFERROR($D134*(F61+F66+F67),"")</f>
        <v>0.88584013728</v>
      </c>
      <c r="G134" s="137">
        <f t="shared" si="22"/>
        <v>1.04520259896</v>
      </c>
      <c r="H134" s="137">
        <f t="shared" si="22"/>
        <v>1.2060029988000001</v>
      </c>
      <c r="I134" s="137" t="str">
        <f>IFERROR(ROUND($D134*(I61+I66+I67),2),"")</f>
        <v/>
      </c>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c r="BA134" s="24"/>
    </row>
    <row r="135" spans="1:53" s="13" customFormat="1">
      <c r="A135" s="78"/>
      <c r="B135" s="87" t="s">
        <v>6</v>
      </c>
      <c r="C135" s="88" t="s">
        <v>38</v>
      </c>
      <c r="D135" s="406">
        <f>INDEX('Apoio - Notas Explicativas'!$Q:$Q,MATCH(C135,'Apoio - Notas Explicativas'!$C:$C,0))</f>
        <v>6.9999999999999999E-4</v>
      </c>
      <c r="E135" s="99">
        <f>IFERROR((E$61+E67)*$D$135,"")</f>
        <v>1.9228061050799998</v>
      </c>
      <c r="F135" s="137">
        <f t="shared" ref="F135:H135" si="23">IFERROR((F$61+F67)*$D$135,"")</f>
        <v>1.92280610508</v>
      </c>
      <c r="G135" s="137">
        <f t="shared" si="23"/>
        <v>2.2687185348100001</v>
      </c>
      <c r="H135" s="137">
        <f t="shared" si="23"/>
        <v>2.6177521555499998</v>
      </c>
      <c r="I135" s="137" t="str">
        <f>IFERROR(ROUND((I$61+I67)*$D$135,2),"")</f>
        <v/>
      </c>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c r="BA135" s="24"/>
    </row>
    <row r="136" spans="1:53" s="13" customFormat="1">
      <c r="A136" s="78"/>
      <c r="B136" s="87" t="s">
        <v>5</v>
      </c>
      <c r="C136" s="88" t="s">
        <v>92</v>
      </c>
      <c r="D136" s="406">
        <f>SUM(D130:D135)*SUM(D81:D82,D72:D77)</f>
        <v>1.4425600000000002E-2</v>
      </c>
      <c r="E136" s="99">
        <f>IF(E18="","",SUM(E130:E135)*SUM($D$72:$D$77,$D$81:$D$82))</f>
        <v>39.677745688318083</v>
      </c>
      <c r="F136" s="137">
        <f>IF(F18="","",SUM(F130:F135)*SUM($D$72:$D$77,$D$81:$D$82))</f>
        <v>39.677745688318097</v>
      </c>
      <c r="G136" s="137">
        <f>IF(G18="","",SUM(G130:G135)*SUM($D$72:$D$77,$D$81:$D$82))</f>
        <v>46.815764119294577</v>
      </c>
      <c r="H136" s="137">
        <f>IF(H18="","",SUM(H130:H135)*SUM($D$72:$D$77,$D$81:$D$82))</f>
        <v>54.018189368416813</v>
      </c>
      <c r="I136" s="137" t="str">
        <f>IF(I18="","",ROUND(SUM(I130:I135)*SUM($D$72:$D$77,$D$81:$D$82),2))</f>
        <v/>
      </c>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row>
    <row r="137" spans="1:53" s="13" customFormat="1">
      <c r="A137" s="78"/>
      <c r="B137" s="87" t="s">
        <v>4</v>
      </c>
      <c r="C137" s="88" t="s">
        <v>89</v>
      </c>
      <c r="D137" s="413">
        <f>INDEX('Apoio - Notas Explicativas'!$Q:$Q,MATCH(C137,'Apoio - Notas Explicativas'!$C:$C,0))</f>
        <v>37.96</v>
      </c>
      <c r="E137" s="99">
        <f>IFERROR(((E114-SUM(E91,E96))/(30*12))*$D$137,"")</f>
        <v>2.6909422222222203</v>
      </c>
      <c r="F137" s="137">
        <f t="shared" ref="F137:H137" si="24">IFERROR(((F114-SUM(F91,F96))/(30*12))*$D$137,"")</f>
        <v>2.6909422222222203</v>
      </c>
      <c r="G137" s="137">
        <f t="shared" si="24"/>
        <v>2.6909422222222203</v>
      </c>
      <c r="H137" s="137">
        <f t="shared" si="24"/>
        <v>2.6909422222222203</v>
      </c>
      <c r="I137" s="137" t="str">
        <f>IFERROR(ROUND(((I114-SUM(I91,I96))/(30*12))*$D$137,2),"")</f>
        <v/>
      </c>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c r="AG137" s="24"/>
      <c r="AH137" s="24"/>
      <c r="AI137" s="24"/>
      <c r="AJ137" s="24"/>
      <c r="AK137" s="24"/>
      <c r="AL137" s="24"/>
      <c r="AM137" s="24"/>
      <c r="AN137" s="24"/>
      <c r="AO137" s="24"/>
      <c r="AP137" s="24"/>
      <c r="AQ137" s="24"/>
      <c r="AR137" s="24"/>
      <c r="AS137" s="24"/>
      <c r="AT137" s="24"/>
      <c r="AU137" s="24"/>
      <c r="AV137" s="24"/>
      <c r="AW137" s="24"/>
      <c r="AX137" s="24"/>
      <c r="AY137" s="24"/>
      <c r="AZ137" s="24"/>
      <c r="BA137" s="24"/>
    </row>
    <row r="138" spans="1:53" s="13" customFormat="1">
      <c r="A138" s="78"/>
      <c r="B138" s="87" t="s">
        <v>113</v>
      </c>
      <c r="C138" s="88" t="s">
        <v>39</v>
      </c>
      <c r="D138" s="413">
        <f>INDEX('Apoio - Notas Explicativas'!$Q:$Q,MATCH(C138,'Apoio - Notas Explicativas'!$C:$C,0))</f>
        <v>37.96</v>
      </c>
      <c r="E138" s="99">
        <f>IFERROR(((((E$125/12)*$D$138))/30),"")</f>
        <v>18.48222457293333</v>
      </c>
      <c r="F138" s="137">
        <f t="shared" ref="F138:H138" si="25">IFERROR(((((F$125/12)*$D$138))/30),"")</f>
        <v>18.482224572933337</v>
      </c>
      <c r="G138" s="137">
        <f t="shared" si="25"/>
        <v>21.807173038588889</v>
      </c>
      <c r="H138" s="137">
        <f t="shared" si="25"/>
        <v>25.162122736833336</v>
      </c>
      <c r="I138" s="137" t="str">
        <f>IFERROR(ROUND(((((I$125/12)*$D$138))/30),2),"")</f>
        <v/>
      </c>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4"/>
      <c r="AH138" s="24"/>
      <c r="AI138" s="24"/>
      <c r="AJ138" s="24"/>
      <c r="AK138" s="24"/>
      <c r="AL138" s="24"/>
      <c r="AM138" s="24"/>
      <c r="AN138" s="24"/>
      <c r="AO138" s="24"/>
      <c r="AP138" s="24"/>
      <c r="AQ138" s="24"/>
      <c r="AR138" s="24"/>
      <c r="AS138" s="24"/>
      <c r="AT138" s="24"/>
      <c r="AU138" s="24"/>
      <c r="AV138" s="24"/>
      <c r="AW138" s="24"/>
      <c r="AX138" s="24"/>
      <c r="AY138" s="24"/>
      <c r="AZ138" s="24"/>
      <c r="BA138" s="24"/>
    </row>
    <row r="139" spans="1:53" s="5" customFormat="1">
      <c r="A139" s="76"/>
      <c r="B139" s="171"/>
      <c r="C139" s="172" t="s">
        <v>120</v>
      </c>
      <c r="D139" s="175"/>
      <c r="E139" s="176">
        <f>IF(SUM(E130:E138)=0,"",SUM(E130:E138))</f>
        <v>168.6708735930336</v>
      </c>
      <c r="F139" s="174">
        <f t="shared" ref="F139:H139" si="26">IF(SUM(F130:F138)=0,"",SUM(F130:F138))</f>
        <v>168.67087359303366</v>
      </c>
      <c r="G139" s="176">
        <f t="shared" si="26"/>
        <v>198.5306297042757</v>
      </c>
      <c r="H139" s="174">
        <f t="shared" si="26"/>
        <v>228.65981239382236</v>
      </c>
      <c r="I139" s="174" t="str">
        <f>IF(SUM(I130:I138)=0,"",SUM(I130:I138))</f>
        <v/>
      </c>
      <c r="J139" s="293"/>
      <c r="K139" s="293"/>
      <c r="L139" s="293"/>
      <c r="M139" s="293"/>
      <c r="N139" s="293"/>
      <c r="O139" s="293"/>
      <c r="P139" s="293"/>
      <c r="Q139" s="293"/>
      <c r="R139" s="293"/>
      <c r="S139" s="293"/>
      <c r="T139" s="293"/>
      <c r="U139" s="293"/>
      <c r="V139" s="293"/>
      <c r="W139" s="293"/>
      <c r="X139" s="293"/>
      <c r="Y139" s="293"/>
      <c r="Z139" s="293"/>
      <c r="AA139" s="293"/>
      <c r="AB139" s="293"/>
      <c r="AC139" s="293"/>
      <c r="AD139" s="293"/>
      <c r="AE139" s="293"/>
      <c r="AF139" s="293"/>
      <c r="AG139" s="293"/>
      <c r="AH139" s="293"/>
      <c r="AI139" s="293"/>
      <c r="AJ139" s="293"/>
      <c r="AK139" s="293"/>
      <c r="AL139" s="293"/>
      <c r="AM139" s="293"/>
      <c r="AN139" s="293"/>
      <c r="AO139" s="293"/>
      <c r="AP139" s="293"/>
      <c r="AQ139" s="293"/>
      <c r="AR139" s="293"/>
      <c r="AS139" s="293"/>
      <c r="AT139" s="293"/>
      <c r="AU139" s="293"/>
      <c r="AV139" s="293"/>
      <c r="AW139" s="293"/>
      <c r="AX139" s="293"/>
      <c r="AY139" s="293"/>
      <c r="AZ139" s="293"/>
      <c r="BA139" s="293"/>
    </row>
    <row r="140" spans="1:53" customFormat="1">
      <c r="J140" s="42"/>
      <c r="K140" s="42"/>
      <c r="L140" s="42"/>
      <c r="M140" s="42"/>
      <c r="N140" s="42"/>
      <c r="O140" s="42"/>
      <c r="P140" s="42"/>
      <c r="Q140" s="42"/>
      <c r="R140" s="42"/>
      <c r="S140" s="42"/>
      <c r="T140" s="42"/>
      <c r="U140" s="42"/>
      <c r="V140" s="42"/>
      <c r="W140" s="42"/>
      <c r="X140" s="42"/>
      <c r="Y140" s="42"/>
      <c r="Z140" s="42"/>
      <c r="AA140" s="42"/>
      <c r="AB140" s="42"/>
      <c r="AC140" s="42"/>
      <c r="AD140" s="42"/>
      <c r="AE140" s="42"/>
      <c r="AF140" s="42"/>
      <c r="AG140" s="42"/>
      <c r="AH140" s="42"/>
      <c r="AI140" s="42"/>
      <c r="AJ140" s="42"/>
      <c r="AK140" s="42"/>
      <c r="AL140" s="42"/>
      <c r="AM140" s="42"/>
      <c r="AN140" s="42"/>
      <c r="AO140" s="42"/>
      <c r="AP140" s="42"/>
      <c r="AQ140" s="42"/>
      <c r="AR140" s="42"/>
      <c r="AS140" s="42"/>
      <c r="AT140" s="42"/>
      <c r="AU140" s="42"/>
      <c r="AV140" s="42"/>
      <c r="AW140" s="42"/>
      <c r="AX140" s="42"/>
      <c r="AY140" s="42"/>
      <c r="AZ140" s="42"/>
      <c r="BA140" s="42"/>
    </row>
    <row r="141" spans="1:53" s="6" customFormat="1">
      <c r="A141" s="75"/>
      <c r="B141" s="171"/>
      <c r="C141" s="172" t="s">
        <v>346</v>
      </c>
      <c r="D141" s="173"/>
      <c r="E141" s="176"/>
      <c r="F141" s="176"/>
      <c r="G141" s="176"/>
      <c r="H141" s="176"/>
      <c r="I141" s="176"/>
      <c r="J141" s="295"/>
      <c r="K141" s="295"/>
      <c r="L141" s="295"/>
      <c r="M141" s="295"/>
      <c r="N141" s="295"/>
      <c r="O141" s="295"/>
      <c r="P141" s="295"/>
      <c r="Q141" s="295"/>
      <c r="R141" s="295"/>
      <c r="S141" s="295"/>
      <c r="T141" s="295"/>
      <c r="U141" s="295"/>
      <c r="V141" s="295"/>
      <c r="W141" s="295"/>
      <c r="X141" s="295"/>
      <c r="Y141" s="295"/>
      <c r="Z141" s="295"/>
      <c r="AA141" s="295"/>
      <c r="AB141" s="295"/>
      <c r="AC141" s="295"/>
      <c r="AD141" s="295"/>
      <c r="AE141" s="295"/>
      <c r="AF141" s="295"/>
      <c r="AG141" s="295"/>
      <c r="AH141" s="295"/>
      <c r="AI141" s="295"/>
      <c r="AJ141" s="295"/>
      <c r="AK141" s="295"/>
      <c r="AL141" s="295"/>
      <c r="AM141" s="295"/>
      <c r="AN141" s="295"/>
      <c r="AO141" s="295"/>
      <c r="AP141" s="295"/>
      <c r="AQ141" s="295"/>
      <c r="AR141" s="295"/>
      <c r="AS141" s="295"/>
      <c r="AT141" s="295"/>
      <c r="AU141" s="295"/>
      <c r="AV141" s="295"/>
      <c r="AW141" s="295"/>
      <c r="AX141" s="295"/>
      <c r="AY141" s="295"/>
      <c r="AZ141" s="295"/>
      <c r="BA141" s="295"/>
    </row>
    <row r="142" spans="1:53" s="13" customFormat="1">
      <c r="A142" s="79"/>
      <c r="B142" s="798" t="s">
        <v>2</v>
      </c>
      <c r="C142" s="135" t="s">
        <v>311</v>
      </c>
      <c r="D142" s="186"/>
      <c r="E142" s="148"/>
      <c r="F142" s="148"/>
      <c r="G142" s="148"/>
      <c r="H142" s="148"/>
      <c r="I142" s="138"/>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4"/>
      <c r="AH142" s="24"/>
      <c r="AI142" s="24"/>
      <c r="AJ142" s="24"/>
      <c r="AK142" s="24"/>
      <c r="AL142" s="24"/>
      <c r="AM142" s="24"/>
      <c r="AN142" s="24"/>
      <c r="AO142" s="24"/>
      <c r="AP142" s="24"/>
      <c r="AQ142" s="24"/>
      <c r="AR142" s="24"/>
      <c r="AS142" s="24"/>
      <c r="AT142" s="24"/>
      <c r="AU142" s="24"/>
      <c r="AV142" s="24"/>
      <c r="AW142" s="24"/>
      <c r="AX142" s="24"/>
      <c r="AY142" s="24"/>
      <c r="AZ142" s="24"/>
      <c r="BA142" s="24"/>
    </row>
    <row r="143" spans="1:53" s="24" customFormat="1">
      <c r="A143" s="79"/>
      <c r="B143" s="799"/>
      <c r="C143" s="136" t="s">
        <v>277</v>
      </c>
      <c r="D143" s="179"/>
      <c r="E143" s="180"/>
      <c r="F143" s="180"/>
      <c r="G143" s="180"/>
      <c r="H143" s="180"/>
      <c r="I143" s="181"/>
    </row>
    <row r="144" spans="1:53" s="24" customFormat="1">
      <c r="A144" s="79"/>
      <c r="B144" s="799"/>
      <c r="C144" s="136" t="s">
        <v>694</v>
      </c>
      <c r="D144" s="179"/>
      <c r="E144" s="180" t="str">
        <f>IF(E143="Indenização",60,
IF(E143="Rendição",60,""))</f>
        <v/>
      </c>
      <c r="F144" s="180" t="str">
        <f t="shared" ref="F144:I144" si="27">IF(F143="Indenização",60,
IF(F143="Rendição",60,""))</f>
        <v/>
      </c>
      <c r="G144" s="180" t="str">
        <f t="shared" si="27"/>
        <v/>
      </c>
      <c r="H144" s="180" t="str">
        <f t="shared" si="27"/>
        <v/>
      </c>
      <c r="I144" s="180" t="str">
        <f t="shared" si="27"/>
        <v/>
      </c>
    </row>
    <row r="145" spans="1:53" s="24" customFormat="1">
      <c r="A145" s="79"/>
      <c r="B145" s="800"/>
      <c r="C145" s="221"/>
      <c r="D145" s="222" t="s">
        <v>41</v>
      </c>
      <c r="E145" s="101" t="str">
        <f>IF(E143="Rendição",(((SUM(E61,E$83,E$114,E151)/VLOOKUP(E$26,'Apoio - Regime de Trabalho'!$A:$I,8,FALSE))*(E144/60))*VLOOKUP(E$26,'Apoio - Regime de Trabalho'!$A:$I,7,FALSE)),
IF(E143="Não",0,
IF(E143="Indenização",(((SUM(E32,E42)/VLOOKUP(E$26,'Apoio - Regime de Trabalho'!$A:$I,8,FALSE))*1.5*(E144/60))*VLOOKUP(E$26,'Apoio - Regime de Trabalho'!$A:$I,7,FALSE)),"")))</f>
        <v/>
      </c>
      <c r="F145" s="101" t="str">
        <f>IF(F143="Rendição",(((SUM(F61,F$83,F$114,F151)/VLOOKUP(F$26,'Apoio - Regime de Trabalho'!$A:$I,8,FALSE))*(F144/60))*VLOOKUP(F$26,'Apoio - Regime de Trabalho'!$A:$I,7,FALSE)),
IF(F143="Não",0,
IF(F143="Indenização",(((SUM(F32,F42)/VLOOKUP(F$26,'Apoio - Regime de Trabalho'!$A:$I,8,FALSE))*1.5*(F144/60))*VLOOKUP(F$26,'Apoio - Regime de Trabalho'!$A:$I,7,FALSE)),"")))</f>
        <v/>
      </c>
      <c r="G145" s="101" t="str">
        <f>IF(G143="Rendição",(((SUM(G61,G$83,G$114,G151)/VLOOKUP(G$26,'Apoio - Regime de Trabalho'!$A:$I,8,FALSE))*(G144/60))*VLOOKUP(G$26,'Apoio - Regime de Trabalho'!$A:$I,7,FALSE)),
IF(G143="Não",0,
IF(G143="Indenização",(((SUM(G32,G42)/VLOOKUP(G$26,'Apoio - Regime de Trabalho'!$A:$I,8,FALSE))*1.5*(G144/60))*VLOOKUP(G$26,'Apoio - Regime de Trabalho'!$A:$I,7,FALSE)),"")))</f>
        <v/>
      </c>
      <c r="H145" s="101" t="str">
        <f>IF(H143="Rendição",(((SUM(H61,H$83,H$114,H151)/VLOOKUP(H$26,'Apoio - Regime de Trabalho'!$A:$I,8,FALSE))*(H144/60))*VLOOKUP(H$26,'Apoio - Regime de Trabalho'!$A:$I,7,FALSE)),
IF(H143="Não",0,
IF(H143="Indenização",(((SUM(H32,H42)/VLOOKUP(H$26,'Apoio - Regime de Trabalho'!$A:$I,8,FALSE))*1.5*(H144/60))*VLOOKUP(H$26,'Apoio - Regime de Trabalho'!$A:$I,7,FALSE)),"")))</f>
        <v/>
      </c>
      <c r="I145" s="101" t="str">
        <f>IF(I143="Rendição",(((SUM(I61,I$83,I$114,I151)/VLOOKUP(I$26,'Apoio - Regime de Trabalho'!$A:$I,8,FALSE))*(I144/60))*VLOOKUP(I$26,'Apoio - Regime de Trabalho'!$A:$I,7,FALSE)),
IF(I143="Não",0,
IF(I143="Indenização",(((SUM(I32,I42)/VLOOKUP(I$26,'Apoio - Regime de Trabalho'!$A:$I,8,FALSE))*1.5*(I144/60))*VLOOKUP(I$26,'Apoio - Regime de Trabalho'!$A:$I,7,FALSE)),"")))</f>
        <v/>
      </c>
    </row>
    <row r="146" spans="1:53" s="5" customFormat="1">
      <c r="A146" s="76"/>
      <c r="B146" s="171"/>
      <c r="C146" s="172" t="s">
        <v>121</v>
      </c>
      <c r="D146" s="175"/>
      <c r="E146" s="174" t="str">
        <f>E145</f>
        <v/>
      </c>
      <c r="F146" s="174" t="str">
        <f t="shared" ref="F146:H146" si="28">F145</f>
        <v/>
      </c>
      <c r="G146" s="174" t="str">
        <f t="shared" si="28"/>
        <v/>
      </c>
      <c r="H146" s="174" t="str">
        <f t="shared" si="28"/>
        <v/>
      </c>
      <c r="I146" s="174" t="str">
        <f>I145</f>
        <v/>
      </c>
      <c r="J146" s="293"/>
      <c r="K146" s="293"/>
      <c r="L146" s="293"/>
      <c r="M146" s="293"/>
      <c r="N146" s="293"/>
      <c r="O146" s="293"/>
      <c r="P146" s="293"/>
      <c r="Q146" s="293"/>
      <c r="R146" s="293"/>
      <c r="S146" s="293"/>
      <c r="T146" s="293"/>
      <c r="U146" s="293"/>
      <c r="V146" s="293"/>
      <c r="W146" s="293"/>
      <c r="X146" s="293"/>
      <c r="Y146" s="293"/>
      <c r="Z146" s="293"/>
      <c r="AA146" s="293"/>
      <c r="AB146" s="293"/>
      <c r="AC146" s="293"/>
      <c r="AD146" s="293"/>
      <c r="AE146" s="293"/>
      <c r="AF146" s="293"/>
      <c r="AG146" s="293"/>
      <c r="AH146" s="293"/>
      <c r="AI146" s="293"/>
      <c r="AJ146" s="293"/>
      <c r="AK146" s="293"/>
      <c r="AL146" s="293"/>
      <c r="AM146" s="293"/>
      <c r="AN146" s="293"/>
      <c r="AO146" s="293"/>
      <c r="AP146" s="293"/>
      <c r="AQ146" s="293"/>
      <c r="AR146" s="293"/>
      <c r="AS146" s="293"/>
      <c r="AT146" s="293"/>
      <c r="AU146" s="293"/>
      <c r="AV146" s="293"/>
      <c r="AW146" s="293"/>
      <c r="AX146" s="293"/>
      <c r="AY146" s="293"/>
      <c r="AZ146" s="293"/>
      <c r="BA146" s="293"/>
    </row>
    <row r="147" spans="1:53" customFormat="1" ht="3.75" customHeight="1">
      <c r="J147" s="42"/>
      <c r="K147" s="42"/>
      <c r="L147" s="42"/>
      <c r="M147" s="42"/>
      <c r="N147" s="42"/>
      <c r="O147" s="42"/>
      <c r="P147" s="42"/>
      <c r="Q147" s="42"/>
      <c r="R147" s="42"/>
      <c r="S147" s="42"/>
      <c r="T147" s="42"/>
      <c r="U147" s="42"/>
      <c r="V147" s="42"/>
      <c r="W147" s="42"/>
      <c r="X147" s="42"/>
      <c r="Y147" s="42"/>
      <c r="Z147" s="42"/>
      <c r="AA147" s="42"/>
      <c r="AB147" s="42"/>
      <c r="AC147" s="42"/>
      <c r="AD147" s="42"/>
      <c r="AE147" s="42"/>
      <c r="AF147" s="42"/>
      <c r="AG147" s="42"/>
      <c r="AH147" s="42"/>
      <c r="AI147" s="42"/>
      <c r="AJ147" s="42"/>
      <c r="AK147" s="42"/>
      <c r="AL147" s="42"/>
      <c r="AM147" s="42"/>
      <c r="AN147" s="42"/>
      <c r="AO147" s="42"/>
      <c r="AP147" s="42"/>
      <c r="AQ147" s="42"/>
      <c r="AR147" s="42"/>
      <c r="AS147" s="42"/>
      <c r="AT147" s="42"/>
      <c r="AU147" s="42"/>
      <c r="AV147" s="42"/>
      <c r="AW147" s="42"/>
      <c r="AX147" s="42"/>
      <c r="AY147" s="42"/>
      <c r="AZ147" s="42"/>
      <c r="BA147" s="42"/>
    </row>
    <row r="148" spans="1:53" s="5" customFormat="1">
      <c r="A148" s="73"/>
      <c r="B148" s="157"/>
      <c r="C148" s="90" t="s">
        <v>122</v>
      </c>
      <c r="D148" s="153"/>
      <c r="E148" s="155">
        <f>IF(E146="",E139,SUM(E146,E139))</f>
        <v>168.6708735930336</v>
      </c>
      <c r="F148" s="155">
        <f t="shared" ref="F148:H148" si="29">IF(F146="",F139,SUM(F146,F139))</f>
        <v>168.67087359303366</v>
      </c>
      <c r="G148" s="154">
        <f t="shared" si="29"/>
        <v>198.5306297042757</v>
      </c>
      <c r="H148" s="452">
        <f t="shared" si="29"/>
        <v>228.65981239382236</v>
      </c>
      <c r="I148" s="156" t="str">
        <f>IF(I146="",I139,SUM(I146,I139))</f>
        <v/>
      </c>
      <c r="J148" s="453"/>
      <c r="K148" s="293"/>
      <c r="L148" s="293"/>
      <c r="M148" s="293"/>
      <c r="N148" s="293"/>
      <c r="O148" s="293"/>
      <c r="P148" s="293"/>
      <c r="Q148" s="293"/>
      <c r="R148" s="293"/>
      <c r="S148" s="293"/>
      <c r="T148" s="293"/>
      <c r="U148" s="293"/>
      <c r="V148" s="293"/>
      <c r="W148" s="293"/>
      <c r="X148" s="293"/>
      <c r="Y148" s="293"/>
      <c r="Z148" s="293"/>
      <c r="AA148" s="293"/>
      <c r="AB148" s="293"/>
      <c r="AC148" s="293"/>
      <c r="AD148" s="293"/>
      <c r="AE148" s="293"/>
      <c r="AF148" s="293"/>
      <c r="AG148" s="293"/>
      <c r="AH148" s="293"/>
      <c r="AI148" s="293"/>
      <c r="AJ148" s="293"/>
      <c r="AK148" s="293"/>
      <c r="AL148" s="293"/>
      <c r="AM148" s="293"/>
      <c r="AN148" s="293"/>
      <c r="AO148" s="293"/>
      <c r="AP148" s="293"/>
      <c r="AQ148" s="293"/>
      <c r="AR148" s="293"/>
      <c r="AS148" s="293"/>
      <c r="AT148" s="293"/>
      <c r="AU148" s="293"/>
      <c r="AV148" s="293"/>
      <c r="AW148" s="293"/>
      <c r="AX148" s="293"/>
      <c r="AY148" s="293"/>
      <c r="AZ148" s="293"/>
      <c r="BA148" s="293"/>
    </row>
    <row r="149" spans="1:53" s="5" customFormat="1">
      <c r="B149" s="85"/>
      <c r="C149" s="15"/>
      <c r="D149" s="16"/>
      <c r="E149" s="15"/>
      <c r="F149" s="15"/>
      <c r="G149" s="15"/>
      <c r="H149" s="15"/>
      <c r="I149" s="15"/>
      <c r="J149" s="293"/>
      <c r="K149" s="293"/>
      <c r="L149" s="293"/>
      <c r="M149" s="293"/>
      <c r="N149" s="293"/>
      <c r="O149" s="293"/>
      <c r="P149" s="293"/>
      <c r="Q149" s="293"/>
      <c r="R149" s="293"/>
      <c r="S149" s="293"/>
      <c r="T149" s="293"/>
      <c r="U149" s="293"/>
      <c r="V149" s="293"/>
      <c r="W149" s="293"/>
      <c r="X149" s="293"/>
      <c r="Y149" s="293"/>
      <c r="Z149" s="293"/>
      <c r="AA149" s="293"/>
      <c r="AB149" s="293"/>
      <c r="AC149" s="293"/>
      <c r="AD149" s="293"/>
      <c r="AE149" s="293"/>
      <c r="AF149" s="293"/>
      <c r="AG149" s="293"/>
      <c r="AH149" s="293"/>
      <c r="AI149" s="293"/>
      <c r="AJ149" s="293"/>
      <c r="AK149" s="293"/>
      <c r="AL149" s="293"/>
      <c r="AM149" s="293"/>
      <c r="AN149" s="293"/>
      <c r="AO149" s="293"/>
      <c r="AP149" s="293"/>
      <c r="AQ149" s="293"/>
      <c r="AR149" s="293"/>
      <c r="AS149" s="293"/>
      <c r="AT149" s="293"/>
      <c r="AU149" s="293"/>
      <c r="AV149" s="293"/>
      <c r="AW149" s="293"/>
      <c r="AX149" s="293"/>
      <c r="AY149" s="293"/>
      <c r="AZ149" s="293"/>
      <c r="BA149" s="293"/>
    </row>
    <row r="150" spans="1:53" s="6" customFormat="1">
      <c r="A150" s="74"/>
      <c r="B150" s="89"/>
      <c r="C150" s="90" t="s">
        <v>490</v>
      </c>
      <c r="D150" s="91"/>
      <c r="E150" s="369"/>
      <c r="F150" s="369"/>
      <c r="G150" s="369"/>
      <c r="H150" s="369"/>
      <c r="I150" s="369"/>
      <c r="J150" s="295"/>
      <c r="K150" s="295"/>
      <c r="L150" s="295"/>
      <c r="M150" s="295"/>
      <c r="N150" s="295"/>
      <c r="O150" s="295"/>
      <c r="P150" s="295"/>
      <c r="Q150" s="295"/>
      <c r="R150" s="295"/>
      <c r="S150" s="295"/>
      <c r="T150" s="295"/>
      <c r="U150" s="295"/>
      <c r="V150" s="295"/>
      <c r="W150" s="295"/>
      <c r="X150" s="295"/>
      <c r="Y150" s="295"/>
      <c r="Z150" s="295"/>
      <c r="AA150" s="295"/>
      <c r="AB150" s="295"/>
      <c r="AC150" s="295"/>
      <c r="AD150" s="295"/>
      <c r="AE150" s="295"/>
      <c r="AF150" s="295"/>
      <c r="AG150" s="295"/>
      <c r="AH150" s="295"/>
      <c r="AI150" s="295"/>
      <c r="AJ150" s="295"/>
      <c r="AK150" s="295"/>
      <c r="AL150" s="295"/>
      <c r="AM150" s="295"/>
      <c r="AN150" s="295"/>
      <c r="AO150" s="295"/>
      <c r="AP150" s="295"/>
      <c r="AQ150" s="295"/>
      <c r="AR150" s="295"/>
      <c r="AS150" s="295"/>
      <c r="AT150" s="295"/>
      <c r="AU150" s="295"/>
      <c r="AV150" s="295"/>
      <c r="AW150" s="295"/>
      <c r="AX150" s="295"/>
      <c r="AY150" s="295"/>
      <c r="AZ150" s="295"/>
      <c r="BA150" s="295"/>
    </row>
    <row r="151" spans="1:53" s="6" customFormat="1">
      <c r="A151" s="78"/>
      <c r="B151" s="87" t="s">
        <v>2</v>
      </c>
      <c r="C151" s="312" t="s">
        <v>224</v>
      </c>
      <c r="D151" s="406"/>
      <c r="E151" s="99">
        <f>IF(E18="","",ROUND(IF($D$151&lt;&gt;"",$D$151*SUM(E61,E116,E125,E148),IFERROR('Mat Individual e Uniformes'!J4/Proposta!$J$6,"")),2))</f>
        <v>0</v>
      </c>
      <c r="F151" s="99">
        <f>IF(F18="","",ROUND(IF($D$151&lt;&gt;"",$D$151*SUM(F61,F116,F125,F148),IFERROR('Mat Individual e Uniformes'!K4/Proposta!$J$6,"")),2))</f>
        <v>0</v>
      </c>
      <c r="G151" s="99">
        <f>IF(G18="","",ROUND(IF($D$151&lt;&gt;"",$D$151*SUM(G61,G116,G125,G148),IFERROR('Mat Individual e Uniformes'!L4/Proposta!$J$6,"")),2))</f>
        <v>0</v>
      </c>
      <c r="H151" s="99">
        <f>IF(H18="","",ROUND(IF($D$151&lt;&gt;"",$D$151*SUM(H61,H116,H125,H148),IFERROR('Mat Individual e Uniformes'!M4/Proposta!$J$6,"")),2))</f>
        <v>0</v>
      </c>
      <c r="I151" s="99" t="str">
        <f>IF(I18="","",IF($D$151&lt;&gt;"",$D$151*I182,IFERROR('Mat Individual e Uniformes'!N4,"")))</f>
        <v/>
      </c>
      <c r="J151" s="295"/>
      <c r="K151" s="295"/>
      <c r="L151" s="295"/>
      <c r="M151" s="295"/>
      <c r="N151" s="295"/>
      <c r="O151" s="295"/>
      <c r="P151" s="295"/>
      <c r="Q151" s="295"/>
      <c r="R151" s="295"/>
      <c r="S151" s="295"/>
      <c r="T151" s="295"/>
      <c r="U151" s="295"/>
      <c r="V151" s="295"/>
      <c r="W151" s="295"/>
      <c r="X151" s="295"/>
      <c r="Y151" s="295"/>
      <c r="Z151" s="295"/>
      <c r="AA151" s="295"/>
      <c r="AB151" s="295"/>
      <c r="AC151" s="295"/>
      <c r="AD151" s="295"/>
      <c r="AE151" s="295"/>
      <c r="AF151" s="295"/>
      <c r="AG151" s="295"/>
      <c r="AH151" s="295"/>
      <c r="AI151" s="295"/>
      <c r="AJ151" s="295"/>
      <c r="AK151" s="295"/>
      <c r="AL151" s="295"/>
      <c r="AM151" s="295"/>
      <c r="AN151" s="295"/>
      <c r="AO151" s="295"/>
      <c r="AP151" s="295"/>
      <c r="AQ151" s="295"/>
      <c r="AR151" s="295"/>
      <c r="AS151" s="295"/>
      <c r="AT151" s="295"/>
      <c r="AU151" s="295"/>
      <c r="AV151" s="295"/>
      <c r="AW151" s="295"/>
      <c r="AX151" s="295"/>
      <c r="AY151" s="295"/>
      <c r="AZ151" s="295"/>
      <c r="BA151" s="295"/>
    </row>
    <row r="152" spans="1:53" s="6" customFormat="1">
      <c r="A152" s="78"/>
      <c r="B152" s="87" t="s">
        <v>1</v>
      </c>
      <c r="C152" s="312" t="s">
        <v>225</v>
      </c>
      <c r="D152" s="406">
        <f>12%/88%</f>
        <v>0.13636363636363635</v>
      </c>
      <c r="E152" s="99">
        <f>IFERROR(
        IF(OR(E18="",$D$152="Não"),       "",
        IF($D$152="Sim",                  'Mat Coletivo e Equipamentos'!$I$4/SUM($E$29:$XX$29),
        ROUND(IF($D$152&lt;&gt;"",$D$152*SUM(E61,E116,E125,E148,E151),
0),2))),0)</f>
        <v>684.56</v>
      </c>
      <c r="F152" s="99">
        <f>IFERROR(
        IF(OR(F18="",$D$152="Não"),       "",
        IF($D$152="Sim",                  'Mat Coletivo e Equipamentos'!$I$4/SUM($E$29:$XX$29),
        ROUND(IF($D$152&lt;&gt;"",$D$152*SUM(F61,F116,F125,F148,F151),
0),2))),0)</f>
        <v>684.56</v>
      </c>
      <c r="G152" s="99">
        <f>IFERROR(
        IF(OR(G18="",$D$152="Não"),       "",
        IF($D$152="Sim",                  'Mat Coletivo e Equipamentos'!$I$4/SUM($E$29:$XX$29),
        ROUND(IF($D$152&lt;&gt;"",$D$152*SUM(G61,G116,G125,G148,G151),
0),2))),0)</f>
        <v>788.12</v>
      </c>
      <c r="H152" s="99">
        <f>IFERROR(
        IF(OR(H18="",$D$152="Não"),       "",
        IF($D$152="Sim",                  'Mat Coletivo e Equipamentos'!$I$4/SUM($E$29:$XX$29),
        ROUND(IF($D$152&lt;&gt;"",$D$152*SUM(H61,H116,H125,H148,H151),
0),2))),0)</f>
        <v>896.56</v>
      </c>
      <c r="I152" s="99" t="str">
        <f>IFERROR(
IF(I18="","",
IF($D$152&lt;&gt;"",$D$152*SUM(I151,I182),
IFERROR(SUMIFS('Mat Coletivo e Equipamentos'!$I6:$I1001,'Mat Coletivo e Equipamentos'!#REF!,"",'Mat Coletivo e Equipamentos'!#REF!,"")/SUM(#REF!),0)
+
IFERROR(SUMIFS('Mat Coletivo e Equipamentos'!$I6:$I1001,'Mat Coletivo e Equipamentos'!#REF!,"Todos",'Mat Coletivo e Equipamentos'!#REF!,"Todos")/SUM(#REF!),0)
+
IFERROR(SUMIFS('Mat Coletivo e Equipamentos'!$I6:$I1001,'Mat Coletivo e Equipamentos'!#REF!,"",'Mat Coletivo e Equipamentos'!#REF!,#REF!)/SUMIFS(#REF!,#REF!,#REF!),0)
+
IFERROR(SUMIFS('Mat Coletivo e Equipamentos'!$I6:$I1001,'Mat Coletivo e Equipamentos'!#REF!,"Todos",'Mat Coletivo e Equipamentos'!#REF!,#REF!)/SUMIFS(#REF!,#REF!,#REF!),0)
+
IFERROR(SUMIFS('Mat Coletivo e Equipamentos'!$I6:$I1001,'Mat Coletivo e Equipamentos'!#REF!,I18,'Mat Coletivo e Equipamentos'!#REF!,"")/SUMIFS(#REF!,#REF!,I20),0)
+
IFERROR(SUMIFS('Mat Coletivo e Equipamentos'!$I6:$I1001,'Mat Coletivo e Equipamentos'!#REF!,I18,'Mat Coletivo e Equipamentos'!#REF!,#REF!)/SUMIFS(#REF!,#REF!,I20,#REF!,#REF!)*I28,0)
)),"")</f>
        <v/>
      </c>
      <c r="J152" s="295"/>
      <c r="K152" s="295"/>
      <c r="L152" s="295"/>
      <c r="M152" s="295"/>
      <c r="N152" s="295"/>
      <c r="O152" s="295"/>
      <c r="P152" s="295"/>
      <c r="Q152" s="295"/>
      <c r="R152" s="295"/>
      <c r="S152" s="295"/>
      <c r="T152" s="295"/>
      <c r="U152" s="295"/>
      <c r="V152" s="295"/>
      <c r="W152" s="295"/>
      <c r="X152" s="295"/>
      <c r="Y152" s="295"/>
      <c r="Z152" s="295"/>
      <c r="AA152" s="295"/>
      <c r="AB152" s="295"/>
      <c r="AC152" s="295"/>
      <c r="AD152" s="295"/>
      <c r="AE152" s="295"/>
      <c r="AF152" s="295"/>
      <c r="AG152" s="295"/>
      <c r="AH152" s="295"/>
      <c r="AI152" s="295"/>
      <c r="AJ152" s="295"/>
      <c r="AK152" s="295"/>
      <c r="AL152" s="295"/>
      <c r="AM152" s="295"/>
      <c r="AN152" s="295"/>
      <c r="AO152" s="295"/>
      <c r="AP152" s="295"/>
      <c r="AQ152" s="295"/>
      <c r="AR152" s="295"/>
      <c r="AS152" s="295"/>
      <c r="AT152" s="295"/>
      <c r="AU152" s="295"/>
      <c r="AV152" s="295"/>
      <c r="AW152" s="295"/>
      <c r="AX152" s="295"/>
      <c r="AY152" s="295"/>
      <c r="AZ152" s="295"/>
      <c r="BA152" s="295"/>
    </row>
    <row r="153" spans="1:53" s="5" customFormat="1">
      <c r="A153" s="73"/>
      <c r="B153" s="157"/>
      <c r="C153" s="90" t="s">
        <v>219</v>
      </c>
      <c r="D153" s="153"/>
      <c r="E153" s="155">
        <f>IF(E18="","",SUM(E151:E152))</f>
        <v>684.56</v>
      </c>
      <c r="F153" s="155">
        <f>IF(F18="","",SUM(F151:F152))</f>
        <v>684.56</v>
      </c>
      <c r="G153" s="155">
        <f>IF(G18="","",SUM(G151:G152))</f>
        <v>788.12</v>
      </c>
      <c r="H153" s="155">
        <f>IF(H18="","",SUM(H151:H152))</f>
        <v>896.56</v>
      </c>
      <c r="I153" s="155" t="str">
        <f>IF(I18="","",SUM(#REF!,#REF!))</f>
        <v/>
      </c>
      <c r="J153" s="293"/>
      <c r="K153" s="293"/>
      <c r="L153" s="293"/>
      <c r="M153" s="293"/>
      <c r="N153" s="293"/>
      <c r="O153" s="293"/>
      <c r="P153" s="293"/>
      <c r="Q153" s="293"/>
      <c r="R153" s="293"/>
      <c r="S153" s="293"/>
      <c r="T153" s="293"/>
      <c r="U153" s="293"/>
      <c r="V153" s="293"/>
      <c r="W153" s="293"/>
      <c r="X153" s="293"/>
      <c r="Y153" s="293"/>
      <c r="Z153" s="293"/>
      <c r="AA153" s="293"/>
      <c r="AB153" s="293"/>
      <c r="AC153" s="293"/>
      <c r="AD153" s="293"/>
      <c r="AE153" s="293"/>
      <c r="AF153" s="293"/>
      <c r="AG153" s="293"/>
      <c r="AH153" s="293"/>
      <c r="AI153" s="293"/>
      <c r="AJ153" s="293"/>
      <c r="AK153" s="293"/>
      <c r="AL153" s="293"/>
      <c r="AM153" s="293"/>
      <c r="AN153" s="293"/>
      <c r="AO153" s="293"/>
      <c r="AP153" s="293"/>
      <c r="AQ153" s="293"/>
      <c r="AR153" s="293"/>
      <c r="AS153" s="293"/>
      <c r="AT153" s="293"/>
      <c r="AU153" s="293"/>
      <c r="AV153" s="293"/>
      <c r="AW153" s="293"/>
      <c r="AX153" s="293"/>
      <c r="AY153" s="293"/>
      <c r="AZ153" s="293"/>
      <c r="BA153" s="293"/>
    </row>
    <row r="154" spans="1:53">
      <c r="F154" s="9"/>
      <c r="G154" s="9"/>
      <c r="H154" s="9"/>
      <c r="I154" s="9"/>
    </row>
    <row r="155" spans="1:53" s="6" customFormat="1">
      <c r="A155" s="74"/>
      <c r="B155" s="89"/>
      <c r="C155" s="90" t="s">
        <v>226</v>
      </c>
      <c r="D155" s="91"/>
      <c r="E155" s="369"/>
      <c r="F155" s="369"/>
      <c r="G155" s="369"/>
      <c r="H155" s="369"/>
      <c r="I155" s="369"/>
      <c r="J155" s="295"/>
      <c r="K155" s="295"/>
      <c r="L155" s="295"/>
      <c r="M155" s="295"/>
      <c r="N155" s="295"/>
      <c r="O155" s="295"/>
      <c r="P155" s="295"/>
      <c r="Q155" s="295"/>
      <c r="R155" s="295"/>
      <c r="S155" s="295"/>
      <c r="T155" s="295"/>
      <c r="U155" s="295"/>
      <c r="V155" s="295"/>
      <c r="W155" s="295"/>
      <c r="X155" s="295"/>
      <c r="Y155" s="295"/>
      <c r="Z155" s="295"/>
      <c r="AA155" s="295"/>
      <c r="AB155" s="295"/>
      <c r="AC155" s="295"/>
      <c r="AD155" s="295"/>
      <c r="AE155" s="295"/>
      <c r="AF155" s="295"/>
      <c r="AG155" s="295"/>
      <c r="AH155" s="295"/>
      <c r="AI155" s="295"/>
      <c r="AJ155" s="295"/>
      <c r="AK155" s="295"/>
      <c r="AL155" s="295"/>
      <c r="AM155" s="295"/>
      <c r="AN155" s="295"/>
      <c r="AO155" s="295"/>
      <c r="AP155" s="295"/>
      <c r="AQ155" s="295"/>
      <c r="AR155" s="295"/>
      <c r="AS155" s="295"/>
      <c r="AT155" s="295"/>
      <c r="AU155" s="295"/>
      <c r="AV155" s="295"/>
      <c r="AW155" s="295"/>
      <c r="AX155" s="295"/>
      <c r="AY155" s="295"/>
      <c r="AZ155" s="295"/>
      <c r="BA155" s="295"/>
    </row>
    <row r="156" spans="1:53" customFormat="1" ht="3.75" customHeight="1">
      <c r="J156" s="42"/>
      <c r="K156" s="42"/>
      <c r="L156" s="42"/>
      <c r="M156" s="42"/>
      <c r="N156" s="42"/>
      <c r="O156" s="42"/>
      <c r="P156" s="42"/>
      <c r="Q156" s="42"/>
      <c r="R156" s="42"/>
      <c r="S156" s="42"/>
      <c r="T156" s="42"/>
      <c r="U156" s="42"/>
      <c r="V156" s="42"/>
      <c r="W156" s="42"/>
      <c r="X156" s="42"/>
      <c r="Y156" s="42"/>
      <c r="Z156" s="42"/>
      <c r="AA156" s="42"/>
      <c r="AB156" s="42"/>
      <c r="AC156" s="42"/>
      <c r="AD156" s="42"/>
      <c r="AE156" s="42"/>
      <c r="AF156" s="42"/>
      <c r="AG156" s="42"/>
      <c r="AH156" s="42"/>
      <c r="AI156" s="42"/>
      <c r="AJ156" s="42"/>
      <c r="AK156" s="42"/>
      <c r="AL156" s="42"/>
      <c r="AM156" s="42"/>
      <c r="AN156" s="42"/>
      <c r="AO156" s="42"/>
      <c r="AP156" s="42"/>
      <c r="AQ156" s="42"/>
      <c r="AR156" s="42"/>
      <c r="AS156" s="42"/>
      <c r="AT156" s="42"/>
      <c r="AU156" s="42"/>
      <c r="AV156" s="42"/>
      <c r="AW156" s="42"/>
      <c r="AX156" s="42"/>
      <c r="AY156" s="42"/>
      <c r="AZ156" s="42"/>
      <c r="BA156" s="42"/>
    </row>
    <row r="157" spans="1:53" s="6" customFormat="1">
      <c r="A157" s="75"/>
      <c r="B157" s="171"/>
      <c r="C157" s="172" t="s">
        <v>230</v>
      </c>
      <c r="D157" s="173"/>
      <c r="E157" s="176"/>
      <c r="F157" s="176"/>
      <c r="G157" s="176"/>
      <c r="H157" s="176"/>
      <c r="I157" s="176"/>
      <c r="J157" s="295"/>
      <c r="K157" s="295"/>
      <c r="L157" s="295"/>
      <c r="M157" s="295"/>
      <c r="N157" s="295"/>
      <c r="O157" s="295"/>
      <c r="P157" s="295"/>
      <c r="Q157" s="295"/>
      <c r="R157" s="295"/>
      <c r="S157" s="295"/>
      <c r="T157" s="295"/>
      <c r="U157" s="295"/>
      <c r="V157" s="295"/>
      <c r="W157" s="295"/>
      <c r="X157" s="295"/>
      <c r="Y157" s="295"/>
      <c r="Z157" s="295"/>
      <c r="AA157" s="295"/>
      <c r="AB157" s="295"/>
      <c r="AC157" s="295"/>
      <c r="AD157" s="295"/>
      <c r="AE157" s="295"/>
      <c r="AF157" s="295"/>
      <c r="AG157" s="295"/>
      <c r="AH157" s="295"/>
      <c r="AI157" s="295"/>
      <c r="AJ157" s="295"/>
      <c r="AK157" s="295"/>
      <c r="AL157" s="295"/>
      <c r="AM157" s="295"/>
      <c r="AN157" s="295"/>
      <c r="AO157" s="295"/>
      <c r="AP157" s="295"/>
      <c r="AQ157" s="295"/>
      <c r="AR157" s="295"/>
      <c r="AS157" s="295"/>
      <c r="AT157" s="295"/>
      <c r="AU157" s="295"/>
      <c r="AV157" s="295"/>
      <c r="AW157" s="295"/>
      <c r="AX157" s="295"/>
      <c r="AY157" s="295"/>
      <c r="AZ157" s="295"/>
      <c r="BA157" s="295"/>
    </row>
    <row r="158" spans="1:53">
      <c r="A158" s="79"/>
      <c r="B158" s="87" t="s">
        <v>2</v>
      </c>
      <c r="C158" s="88" t="s">
        <v>227</v>
      </c>
      <c r="D158" s="406">
        <f>IFERROR(INDEX('Apoio - Notas Explicativas'!Q:Q,MATCH(C158,'Apoio - Notas Explicativas'!C:C,0)),"")</f>
        <v>0.05</v>
      </c>
      <c r="E158" s="99">
        <f>IF(E18="","",IFERROR(ROUND($D$158*SUM(E61,E116,E125,E148,E153),2),""))</f>
        <v>285.23</v>
      </c>
      <c r="F158" s="99">
        <f>IF(F18="","",IFERROR(ROUND($D$158*SUM(F61,F116,F125,F148,F153),2),""))</f>
        <v>285.23</v>
      </c>
      <c r="G158" s="99">
        <f>IF(G18="","",IFERROR(ROUND($D$158*SUM(G61,G116,G125,G148,G153),2),""))</f>
        <v>328.38</v>
      </c>
      <c r="H158" s="99">
        <f>IF(H18="","",IFERROR(ROUND($D$158*SUM(H61,H116,H125,H148,H153),2),""))</f>
        <v>373.57</v>
      </c>
      <c r="I158" s="99" t="str">
        <f>IF(I18="","",IFERROR($D$158*SUM(I61,I116,I125,I148,I153),""))</f>
        <v/>
      </c>
    </row>
    <row r="159" spans="1:53">
      <c r="A159" s="78"/>
      <c r="B159" s="87" t="s">
        <v>1</v>
      </c>
      <c r="C159" s="88" t="s">
        <v>228</v>
      </c>
      <c r="D159" s="406">
        <f>IFERROR(INDEX('Apoio - Notas Explicativas'!Q:Q,MATCH(C159,'Apoio - Notas Explicativas'!C:C,0)),"")</f>
        <v>0.1</v>
      </c>
      <c r="E159" s="99">
        <f>IF(E18="","",IFERROR(ROUND($D$159*SUM(E158,E61,E116,E125,E148,E153),2),""))</f>
        <v>598.99</v>
      </c>
      <c r="F159" s="99">
        <f>IF(F18="","",IFERROR(ROUND($D$159*SUM(F158,F61,F116,F125,F148,F153),2),""))</f>
        <v>598.99</v>
      </c>
      <c r="G159" s="99">
        <f>IF(G18="","",IFERROR(ROUND($D$159*SUM(G158,G61,G116,G125,G148,G153),2),""))</f>
        <v>689.6</v>
      </c>
      <c r="H159" s="99">
        <f>IF(H18="","",IFERROR(ROUND($D$159*SUM(H158,H61,H116,H125,H148,H153),2),""))</f>
        <v>784.49</v>
      </c>
      <c r="I159" s="99" t="str">
        <f>IF(I18="","",IFERROR($D$159*SUM(I158,I61,I116,I125,I148,I153),""))</f>
        <v/>
      </c>
    </row>
    <row r="160" spans="1:53" s="5" customFormat="1">
      <c r="A160" s="76"/>
      <c r="B160" s="171"/>
      <c r="C160" s="172" t="s">
        <v>231</v>
      </c>
      <c r="D160" s="175"/>
      <c r="E160" s="176">
        <f>IF(E18="","",SUM(E158:E159))</f>
        <v>884.22</v>
      </c>
      <c r="F160" s="176">
        <f>IF(F18="","",SUM(F158:F159))</f>
        <v>884.22</v>
      </c>
      <c r="G160" s="176">
        <f>IF(G18="","",SUM(G158:G159))</f>
        <v>1017.98</v>
      </c>
      <c r="H160" s="176">
        <f>IF(H18="","",SUM(H158:H159))</f>
        <v>1158.06</v>
      </c>
      <c r="I160" s="174" t="str">
        <f>IF(I18="","",SUM(I158:I159))</f>
        <v/>
      </c>
      <c r="J160" s="293"/>
      <c r="K160" s="293"/>
      <c r="L160" s="293"/>
      <c r="M160" s="293"/>
      <c r="N160" s="293"/>
      <c r="O160" s="293"/>
      <c r="P160" s="293"/>
      <c r="Q160" s="293"/>
      <c r="R160" s="293"/>
      <c r="S160" s="293"/>
      <c r="T160" s="293"/>
      <c r="U160" s="293"/>
      <c r="V160" s="293"/>
      <c r="W160" s="293"/>
      <c r="X160" s="293"/>
      <c r="Y160" s="293"/>
      <c r="Z160" s="293"/>
      <c r="AA160" s="293"/>
      <c r="AB160" s="293"/>
      <c r="AC160" s="293"/>
      <c r="AD160" s="293"/>
      <c r="AE160" s="293"/>
      <c r="AF160" s="293"/>
      <c r="AG160" s="293"/>
      <c r="AH160" s="293"/>
      <c r="AI160" s="293"/>
      <c r="AJ160" s="293"/>
      <c r="AK160" s="293"/>
      <c r="AL160" s="293"/>
      <c r="AM160" s="293"/>
      <c r="AN160" s="293"/>
      <c r="AO160" s="293"/>
      <c r="AP160" s="293"/>
      <c r="AQ160" s="293"/>
      <c r="AR160" s="293"/>
      <c r="AS160" s="293"/>
      <c r="AT160" s="293"/>
      <c r="AU160" s="293"/>
      <c r="AV160" s="293"/>
      <c r="AW160" s="293"/>
      <c r="AX160" s="293"/>
      <c r="AY160" s="293"/>
      <c r="AZ160" s="293"/>
      <c r="BA160" s="293"/>
    </row>
    <row r="161" spans="1:53" customFormat="1" ht="3.75" customHeight="1">
      <c r="J161" s="42"/>
      <c r="K161" s="42"/>
      <c r="L161" s="42"/>
      <c r="M161" s="42"/>
      <c r="N161" s="42"/>
      <c r="O161" s="42"/>
      <c r="P161" s="42"/>
      <c r="Q161" s="42"/>
      <c r="R161" s="42"/>
      <c r="S161" s="42"/>
      <c r="T161" s="42"/>
      <c r="U161" s="42"/>
      <c r="V161" s="42"/>
      <c r="W161" s="42"/>
      <c r="X161" s="42"/>
      <c r="Y161" s="42"/>
      <c r="Z161" s="42"/>
      <c r="AA161" s="42"/>
      <c r="AB161" s="42"/>
      <c r="AC161" s="42"/>
      <c r="AD161" s="42"/>
      <c r="AE161" s="42"/>
      <c r="AF161" s="42"/>
      <c r="AG161" s="42"/>
      <c r="AH161" s="42"/>
      <c r="AI161" s="42"/>
      <c r="AJ161" s="42"/>
      <c r="AK161" s="42"/>
      <c r="AL161" s="42"/>
      <c r="AM161" s="42"/>
      <c r="AN161" s="42"/>
      <c r="AO161" s="42"/>
      <c r="AP161" s="42"/>
      <c r="AQ161" s="42"/>
      <c r="AR161" s="42"/>
      <c r="AS161" s="42"/>
      <c r="AT161" s="42"/>
      <c r="AU161" s="42"/>
      <c r="AV161" s="42"/>
      <c r="AW161" s="42"/>
      <c r="AX161" s="42"/>
      <c r="AY161" s="42"/>
      <c r="AZ161" s="42"/>
      <c r="BA161" s="42"/>
    </row>
    <row r="162" spans="1:53" s="6" customFormat="1">
      <c r="A162" s="75"/>
      <c r="B162" s="171"/>
      <c r="C162" s="172" t="s">
        <v>309</v>
      </c>
      <c r="D162" s="173"/>
      <c r="E162" s="176"/>
      <c r="F162" s="176"/>
      <c r="G162" s="176"/>
      <c r="H162" s="176"/>
      <c r="I162" s="176"/>
      <c r="J162" s="295"/>
      <c r="K162" s="295"/>
      <c r="L162" s="295"/>
      <c r="M162" s="295"/>
      <c r="N162" s="295"/>
      <c r="O162" s="295"/>
      <c r="P162" s="295"/>
      <c r="Q162" s="295"/>
      <c r="R162" s="295"/>
      <c r="S162" s="295"/>
      <c r="T162" s="295"/>
      <c r="U162" s="295"/>
      <c r="V162" s="295"/>
      <c r="W162" s="295"/>
      <c r="X162" s="295"/>
      <c r="Y162" s="295"/>
      <c r="Z162" s="295"/>
      <c r="AA162" s="295"/>
      <c r="AB162" s="295"/>
      <c r="AC162" s="295"/>
      <c r="AD162" s="295"/>
      <c r="AE162" s="295"/>
      <c r="AF162" s="295"/>
      <c r="AG162" s="295"/>
      <c r="AH162" s="295"/>
      <c r="AI162" s="295"/>
      <c r="AJ162" s="295"/>
      <c r="AK162" s="295"/>
      <c r="AL162" s="295"/>
      <c r="AM162" s="295"/>
      <c r="AN162" s="295"/>
      <c r="AO162" s="295"/>
      <c r="AP162" s="295"/>
      <c r="AQ162" s="295"/>
      <c r="AR162" s="295"/>
      <c r="AS162" s="295"/>
      <c r="AT162" s="295"/>
      <c r="AU162" s="295"/>
      <c r="AV162" s="295"/>
      <c r="AW162" s="295"/>
      <c r="AX162" s="295"/>
      <c r="AY162" s="295"/>
      <c r="AZ162" s="295"/>
      <c r="BA162" s="295"/>
    </row>
    <row r="163" spans="1:53">
      <c r="A163" s="78"/>
      <c r="B163" s="87" t="s">
        <v>2</v>
      </c>
      <c r="C163" s="88" t="s">
        <v>43</v>
      </c>
      <c r="D163" s="392">
        <f>IFERROR(INDEX('Apoio - Notas Explicativas'!Q:Q,MATCH(C163,'Apoio - Notas Explicativas'!C:C,0)),"")</f>
        <v>0.03</v>
      </c>
      <c r="E163" s="99">
        <f>IF(E18="","",IFERROR(ROUND(SUM(E$160,E$61,E$116,E$125,E$148,E$153)*$D163/(1-SUM($D$163:$D$168,E$166)),2),""))</f>
        <v>210.62</v>
      </c>
      <c r="F163" s="99">
        <f>IF(F18="","",IFERROR(ROUND(SUM(F$160,F$61,F$116,F$125,F$148,F$153)*$D163/(1-SUM($D$163:$D$168,F$166)),2),""))</f>
        <v>210.62</v>
      </c>
      <c r="G163" s="99">
        <f>IF(G18="","",IFERROR(ROUND(SUM(G$160,G$61,G$116,G$125,G$148,G$153)*$D163/(1-SUM($D$163:$D$168,G$166)),2),""))</f>
        <v>242.48</v>
      </c>
      <c r="H163" s="99">
        <f>IF(H18="","",IFERROR(ROUND(SUM(H$160,H$61,H$116,H$125,H$148,H$153)*$D163/(1-SUM($D$163:$D$168,H$166)),2),""))</f>
        <v>275.85000000000002</v>
      </c>
      <c r="I163" s="99" t="str">
        <f>IF(I18="","",IFERROR(SUM(I$160,I$61,I$116,I$125,I$148,I$153)*$D163/(1-SUM($D$163:$D$168,I$166)),""))</f>
        <v/>
      </c>
    </row>
    <row r="164" spans="1:53">
      <c r="A164" s="79"/>
      <c r="B164" s="87" t="s">
        <v>1</v>
      </c>
      <c r="C164" s="88" t="s">
        <v>107</v>
      </c>
      <c r="D164" s="392">
        <f>IFERROR(INDEX('Apoio - Notas Explicativas'!Q:Q,MATCH(C164,'Apoio - Notas Explicativas'!C:C,0)),"")</f>
        <v>6.4999999999999997E-3</v>
      </c>
      <c r="E164" s="99">
        <f>IF(E20="","",IFERROR(ROUND(SUM(E$160,E$61,E$116,E$125,E$148,E$153)*$D164/(1-SUM($D$163:$D$168,E$166)),2),""))</f>
        <v>45.63</v>
      </c>
      <c r="F164" s="99">
        <f>IF(F20="","",IFERROR(ROUND(SUM(F$160,F$61,F$116,F$125,F$148,F$153)*$D164/(1-SUM($D$163:$D$168,F$166)),2),""))</f>
        <v>45.63</v>
      </c>
      <c r="G164" s="99">
        <f>IF(G20="","",IFERROR(ROUND(SUM(G$160,G$61,G$116,G$125,G$148,G$153)*$D164/(1-SUM($D$163:$D$168,G$166)),2),""))</f>
        <v>52.54</v>
      </c>
      <c r="H164" s="99">
        <f>IF(H20="","",IFERROR(ROUND(SUM(H$160,H$61,H$116,H$125,H$148,H$153)*$D164/(1-SUM($D$163:$D$168,H$166)),2),""))</f>
        <v>59.77</v>
      </c>
      <c r="I164" s="99" t="str">
        <f>IF(I20="","",IFERROR(SUM(I$160,I$61,I$116,I$125,I$148,I$153)*$D164/(1-SUM($D$163:$D$168,I$166)),""))</f>
        <v/>
      </c>
    </row>
    <row r="165" spans="1:53">
      <c r="A165" s="79"/>
      <c r="B165" s="801" t="s">
        <v>0</v>
      </c>
      <c r="C165" s="160" t="s">
        <v>44</v>
      </c>
      <c r="D165" s="414"/>
      <c r="E165" s="148"/>
      <c r="F165" s="148"/>
      <c r="G165" s="148"/>
      <c r="H165" s="148"/>
      <c r="I165" s="148"/>
    </row>
    <row r="166" spans="1:53">
      <c r="A166" s="79"/>
      <c r="B166" s="802"/>
      <c r="C166" s="136" t="s">
        <v>353</v>
      </c>
      <c r="D166" s="181"/>
      <c r="E166" s="388">
        <f>IF(E18="","",
IF($D$13="Simples",INDEX('Apoio - Notas Explicativas'!$Q:$Q,MATCH($C$165,'Apoio - Notas Explicativas'!$C:$C,0)),
IFERROR(VLOOKUP(E$18,'Apoio - Posto'!$A:$AA,20,FALSE),
INDEX('Apoio - Notas Explicativas'!$Q:$Q,MATCH($C$165,'Apoio - Notas Explicativas'!$C:$C,0))
)))</f>
        <v>2.5000000000000001E-2</v>
      </c>
      <c r="F166" s="388">
        <f>IF(F18="","",
IF($D$13="Simples",INDEX('Apoio - Notas Explicativas'!$Q:$Q,MATCH($C$165,'Apoio - Notas Explicativas'!$C:$C,0)),
IFERROR(VLOOKUP(F$18,'Apoio - Posto'!$A:$AA,20,FALSE),
INDEX('Apoio - Notas Explicativas'!$Q:$Q,MATCH($C$165,'Apoio - Notas Explicativas'!$C:$C,0))
)))</f>
        <v>2.5000000000000001E-2</v>
      </c>
      <c r="G166" s="388">
        <f>IF(G18="","",
IF($D$13="Simples",INDEX('Apoio - Notas Explicativas'!$Q:$Q,MATCH($C$165,'Apoio - Notas Explicativas'!$C:$C,0)),
IFERROR(VLOOKUP(G$18,'Apoio - Posto'!$A:$AA,20,FALSE),
INDEX('Apoio - Notas Explicativas'!$Q:$Q,MATCH($C$165,'Apoio - Notas Explicativas'!$C:$C,0))
)))</f>
        <v>2.5000000000000001E-2</v>
      </c>
      <c r="H166" s="388">
        <f>IF(H18="","",
IF($D$13="Simples",INDEX('Apoio - Notas Explicativas'!$Q:$Q,MATCH($C$165,'Apoio - Notas Explicativas'!$C:$C,0)),
IFERROR(VLOOKUP(H$18,'Apoio - Posto'!$A:$AA,20,FALSE),
INDEX('Apoio - Notas Explicativas'!$Q:$Q,MATCH($C$165,'Apoio - Notas Explicativas'!$C:$C,0))
)))</f>
        <v>2.5000000000000001E-2</v>
      </c>
      <c r="I166" s="388" t="str">
        <f>IF(I18="","",IFERROR(VLOOKUP(I$18,'Apoio - Posto'!$A:$AA,20,FALSE),INDEX('Apoio - Notas Explicativas'!$Q:$Q,MATCH($C$165,'Apoio - Notas Explicativas'!$C:$C,0))))</f>
        <v/>
      </c>
    </row>
    <row r="167" spans="1:53">
      <c r="A167" s="78"/>
      <c r="B167" s="803"/>
      <c r="C167" s="88"/>
      <c r="D167" s="415" t="s">
        <v>41</v>
      </c>
      <c r="E167" s="147">
        <f>IF(E21="","",IFERROR(ROUND(SUM(E$160,E$61,E$116,E$125,E$148,E$153)*E166/(1-SUM($D$163:$D$168,E166)),2),""))</f>
        <v>175.52</v>
      </c>
      <c r="F167" s="147">
        <f>IF(F21="","",IFERROR(ROUND(SUM(F$160,F$61,F$116,F$125,F$148,F$153)*F166/(1-SUM($D$163:$D$168,F166)),2),""))</f>
        <v>175.52</v>
      </c>
      <c r="G167" s="147">
        <f>IF(G21="","",IFERROR(ROUND(SUM(G$160,G$61,G$116,G$125,G$148,G$153)*G166/(1-SUM($D$163:$D$168,G166)),2),""))</f>
        <v>202.07</v>
      </c>
      <c r="H167" s="147">
        <f>IF(H21="","",IFERROR(ROUND(SUM(H$160,H$61,H$116,H$125,H$148,H$153)*H166/(1-SUM($D$163:$D$168,H166)),2),""))</f>
        <v>229.87</v>
      </c>
      <c r="I167" s="147" t="str">
        <f>IF(I21="","",IFERROR(SUM(I$160,I$61,I$116,I$125,I$148,I$153)*I166/(1-SUM($D$163:$D$168,I166)),""))</f>
        <v/>
      </c>
    </row>
    <row r="168" spans="1:53">
      <c r="A168" s="78"/>
      <c r="B168" s="390" t="s">
        <v>3</v>
      </c>
      <c r="C168" s="391" t="s">
        <v>303</v>
      </c>
      <c r="D168" s="392">
        <v>0</v>
      </c>
      <c r="E168" s="99">
        <f>IF(E22="","",IFERROR(ROUND(SUM(E$160,E$61,E$116,E$125,E$148,E$153)*$D168/(1-SUM($D$163:$D$168,E$166)),2),""))</f>
        <v>0</v>
      </c>
      <c r="F168" s="99">
        <f>IF(F22="","",IFERROR(ROUND(SUM(F$160,F$61,F$116,F$125,F$148,F$153)*$D168/(1-SUM($D$163:$D$168,F$166)),2),""))</f>
        <v>0</v>
      </c>
      <c r="G168" s="99">
        <f>IF(G22="","",IFERROR(ROUND(SUM(G$160,G$61,G$116,G$125,G$148,G$153)*$D168/(1-SUM($D$163:$D$168,G$166)),2),""))</f>
        <v>0</v>
      </c>
      <c r="H168" s="99">
        <f>IF(H22="","",IFERROR(ROUND(SUM(H$160,H$61,H$116,H$125,H$148,H$153)*$D168/(1-SUM($D$163:$D$168,H$166)),2),""))</f>
        <v>0</v>
      </c>
      <c r="I168" s="99" t="str">
        <f>IF(I22="","",IFERROR(SUM(I$160,I$61,I$116,I$125,I$148,I$153)*$D168/(1-SUM($D$163:$D$168,I$166)),""))</f>
        <v/>
      </c>
    </row>
    <row r="169" spans="1:53" s="5" customFormat="1">
      <c r="A169" s="76"/>
      <c r="B169" s="171"/>
      <c r="C169" s="172" t="s">
        <v>232</v>
      </c>
      <c r="D169" s="175"/>
      <c r="E169" s="192">
        <f>IF(E18="","",SUM(E163:E164,E167:E168))</f>
        <v>431.77</v>
      </c>
      <c r="F169" s="192">
        <f>IF(F18="","",SUM(F163:F164,F167:F168))</f>
        <v>431.77</v>
      </c>
      <c r="G169" s="192">
        <f>IF(G18="","",SUM(G163:G164,G167:G168))</f>
        <v>497.09</v>
      </c>
      <c r="H169" s="192">
        <f>IF(H18="","",SUM(H163:H164,H167:H168))</f>
        <v>565.49</v>
      </c>
      <c r="I169" s="192" t="str">
        <f>IF(I18="","",SUM(I163:I164,I167:I168))</f>
        <v/>
      </c>
      <c r="J169" s="293"/>
      <c r="K169" s="293"/>
      <c r="L169" s="293"/>
      <c r="M169" s="293"/>
      <c r="N169" s="293"/>
      <c r="O169" s="293"/>
      <c r="P169" s="293"/>
      <c r="Q169" s="293"/>
      <c r="R169" s="293"/>
      <c r="S169" s="293"/>
      <c r="T169" s="293"/>
      <c r="U169" s="293"/>
      <c r="V169" s="293"/>
      <c r="W169" s="293"/>
      <c r="X169" s="293"/>
      <c r="Y169" s="293"/>
      <c r="Z169" s="293"/>
      <c r="AA169" s="293"/>
      <c r="AB169" s="293"/>
      <c r="AC169" s="293"/>
      <c r="AD169" s="293"/>
      <c r="AE169" s="293"/>
      <c r="AF169" s="293"/>
      <c r="AG169" s="293"/>
      <c r="AH169" s="293"/>
      <c r="AI169" s="293"/>
      <c r="AJ169" s="293"/>
      <c r="AK169" s="293"/>
      <c r="AL169" s="293"/>
      <c r="AM169" s="293"/>
      <c r="AN169" s="293"/>
      <c r="AO169" s="293"/>
      <c r="AP169" s="293"/>
      <c r="AQ169" s="293"/>
      <c r="AR169" s="293"/>
      <c r="AS169" s="293"/>
      <c r="AT169" s="293"/>
      <c r="AU169" s="293"/>
      <c r="AV169" s="293"/>
      <c r="AW169" s="293"/>
      <c r="AX169" s="293"/>
      <c r="AY169" s="293"/>
      <c r="AZ169" s="293"/>
      <c r="BA169" s="293"/>
    </row>
    <row r="170" spans="1:53" customFormat="1" ht="3.75" customHeight="1">
      <c r="J170" s="42"/>
      <c r="K170" s="42"/>
      <c r="L170" s="42"/>
      <c r="M170" s="42"/>
      <c r="N170" s="42"/>
      <c r="O170" s="42"/>
      <c r="P170" s="42"/>
      <c r="Q170" s="42"/>
      <c r="R170" s="42"/>
      <c r="S170" s="42"/>
      <c r="T170" s="42"/>
      <c r="U170" s="42"/>
      <c r="V170" s="42"/>
      <c r="W170" s="42"/>
      <c r="X170" s="42"/>
      <c r="Y170" s="42"/>
      <c r="Z170" s="42"/>
      <c r="AA170" s="42"/>
      <c r="AB170" s="42"/>
      <c r="AC170" s="42"/>
      <c r="AD170" s="42"/>
      <c r="AE170" s="42"/>
      <c r="AF170" s="42"/>
      <c r="AG170" s="42"/>
      <c r="AH170" s="42"/>
      <c r="AI170" s="42"/>
      <c r="AJ170" s="42"/>
      <c r="AK170" s="42"/>
      <c r="AL170" s="42"/>
      <c r="AM170" s="42"/>
      <c r="AN170" s="42"/>
      <c r="AO170" s="42"/>
      <c r="AP170" s="42"/>
      <c r="AQ170" s="42"/>
      <c r="AR170" s="42"/>
      <c r="AS170" s="42"/>
      <c r="AT170" s="42"/>
      <c r="AU170" s="42"/>
      <c r="AV170" s="42"/>
      <c r="AW170" s="42"/>
      <c r="AX170" s="42"/>
      <c r="AY170" s="42"/>
      <c r="AZ170" s="42"/>
      <c r="BA170" s="42"/>
    </row>
    <row r="171" spans="1:53" s="5" customFormat="1">
      <c r="A171" s="73"/>
      <c r="B171" s="157"/>
      <c r="C171" s="90" t="s">
        <v>220</v>
      </c>
      <c r="D171" s="153"/>
      <c r="E171" s="155">
        <f>IF(E18="","",SUM(E169,E160))</f>
        <v>1315.99</v>
      </c>
      <c r="F171" s="155">
        <f>IF(F18="","",SUM(F169,F160))</f>
        <v>1315.99</v>
      </c>
      <c r="G171" s="155">
        <f>IF(G18="","",SUM(G169,G160))</f>
        <v>1515.07</v>
      </c>
      <c r="H171" s="155">
        <f>IF(H18="","",SUM(H169,H160))</f>
        <v>1723.55</v>
      </c>
      <c r="I171" s="156" t="str">
        <f>IF(I18="","",SUM(I169,I160))</f>
        <v/>
      </c>
      <c r="J171" s="293"/>
      <c r="K171" s="293"/>
      <c r="L171" s="293"/>
      <c r="M171" s="293"/>
      <c r="N171" s="293"/>
      <c r="O171" s="293"/>
      <c r="P171" s="293"/>
      <c r="Q171" s="293"/>
      <c r="R171" s="293"/>
      <c r="S171" s="293"/>
      <c r="T171" s="293"/>
      <c r="U171" s="293"/>
      <c r="V171" s="293"/>
      <c r="W171" s="293"/>
      <c r="X171" s="293"/>
      <c r="Y171" s="293"/>
      <c r="Z171" s="293"/>
      <c r="AA171" s="293"/>
      <c r="AB171" s="293"/>
      <c r="AC171" s="293"/>
      <c r="AD171" s="293"/>
      <c r="AE171" s="293"/>
      <c r="AF171" s="293"/>
      <c r="AG171" s="293"/>
      <c r="AH171" s="293"/>
      <c r="AI171" s="293"/>
      <c r="AJ171" s="293"/>
      <c r="AK171" s="293"/>
      <c r="AL171" s="293"/>
      <c r="AM171" s="293"/>
      <c r="AN171" s="293"/>
      <c r="AO171" s="293"/>
      <c r="AP171" s="293"/>
      <c r="AQ171" s="293"/>
      <c r="AR171" s="293"/>
      <c r="AS171" s="293"/>
      <c r="AT171" s="293"/>
      <c r="AU171" s="293"/>
      <c r="AV171" s="293"/>
      <c r="AW171" s="293"/>
      <c r="AX171" s="293"/>
      <c r="AY171" s="293"/>
      <c r="AZ171" s="293"/>
      <c r="BA171" s="293"/>
    </row>
    <row r="172" spans="1:53">
      <c r="F172" s="9"/>
      <c r="G172" s="9"/>
      <c r="H172" s="9"/>
      <c r="I172" s="9"/>
      <c r="L172"/>
      <c r="M172"/>
      <c r="N172"/>
      <c r="O172"/>
      <c r="P172"/>
      <c r="Q172"/>
      <c r="R172"/>
    </row>
    <row r="173" spans="1:53" s="6" customFormat="1">
      <c r="A173" s="74"/>
      <c r="B173" s="89"/>
      <c r="C173" s="90" t="s">
        <v>374</v>
      </c>
      <c r="D173" s="91"/>
      <c r="E173" s="369"/>
      <c r="F173" s="369"/>
      <c r="G173" s="369"/>
      <c r="H173" s="369"/>
      <c r="I173" s="369"/>
      <c r="J173" s="295"/>
      <c r="K173" s="295"/>
      <c r="L173"/>
      <c r="M173"/>
      <c r="N173"/>
      <c r="O173"/>
      <c r="P173"/>
      <c r="Q173"/>
      <c r="R173"/>
      <c r="S173" s="295"/>
      <c r="T173" s="295"/>
      <c r="U173" s="295"/>
      <c r="V173" s="295"/>
      <c r="W173" s="295"/>
      <c r="X173" s="295"/>
      <c r="Y173" s="295"/>
      <c r="Z173" s="295"/>
      <c r="AA173" s="295"/>
      <c r="AB173" s="295"/>
      <c r="AC173" s="295"/>
      <c r="AD173" s="295"/>
      <c r="AE173" s="295"/>
      <c r="AF173" s="295"/>
      <c r="AG173" s="295"/>
      <c r="AH173" s="295"/>
      <c r="AI173" s="295"/>
      <c r="AJ173" s="295"/>
      <c r="AK173" s="295"/>
      <c r="AL173" s="295"/>
      <c r="AM173" s="295"/>
      <c r="AN173" s="295"/>
      <c r="AO173" s="295"/>
      <c r="AP173" s="295"/>
      <c r="AQ173" s="295"/>
      <c r="AR173" s="295"/>
      <c r="AS173" s="295"/>
      <c r="AT173" s="295"/>
      <c r="AU173" s="295"/>
      <c r="AV173" s="295"/>
      <c r="AW173" s="295"/>
      <c r="AX173" s="295"/>
      <c r="AY173" s="295"/>
      <c r="AZ173" s="295"/>
      <c r="BA173" s="295"/>
    </row>
    <row r="174" spans="1:53" ht="3.75" customHeight="1">
      <c r="A174" s="287"/>
      <c r="B174" s="3"/>
      <c r="C174" s="3"/>
      <c r="D174" s="3"/>
      <c r="E174" s="3"/>
      <c r="F174" s="3"/>
      <c r="G174" s="3"/>
      <c r="H174" s="3"/>
      <c r="I174" s="3"/>
      <c r="L174"/>
      <c r="M174"/>
      <c r="N174"/>
      <c r="O174"/>
      <c r="P174"/>
      <c r="Q174"/>
      <c r="R174"/>
    </row>
    <row r="175" spans="1:53">
      <c r="A175" s="287"/>
      <c r="B175" s="171"/>
      <c r="C175" s="172" t="s">
        <v>438</v>
      </c>
      <c r="D175" s="289"/>
      <c r="E175" s="396"/>
      <c r="F175" s="396"/>
      <c r="G175" s="396"/>
      <c r="H175" s="396"/>
      <c r="I175" s="396"/>
      <c r="L175"/>
      <c r="M175"/>
      <c r="N175"/>
      <c r="O175"/>
      <c r="P175"/>
      <c r="Q175"/>
      <c r="R175"/>
    </row>
    <row r="176" spans="1:53">
      <c r="A176" s="80"/>
      <c r="B176" s="87" t="s">
        <v>2</v>
      </c>
      <c r="C176" s="88" t="s">
        <v>375</v>
      </c>
      <c r="D176" s="177"/>
      <c r="E176" s="99">
        <f>IFERROR(IF(E18="","",E178/SUM(E52,INDEX('Apoio - Regime de Trabalho'!$I:$I,MATCH(E26,'Apoio - Regime de Trabalho'!$A:$A,0)))),"")</f>
        <v>36.565937499999997</v>
      </c>
      <c r="F176" s="99">
        <f>IFERROR(IF(F18="","",F178/SUM(F52,INDEX('Apoio - Regime de Trabalho'!$I:$I,MATCH(F26,'Apoio - Regime de Trabalho'!$A:$A,0)))),"")</f>
        <v>36.565937499999997</v>
      </c>
      <c r="G176" s="99">
        <f>IFERROR(IF(G18="","",G178/SUM(G52,INDEX('Apoio - Regime de Trabalho'!$I:$I,MATCH(G26,'Apoio - Regime de Trabalho'!$A:$A,0)))),"")</f>
        <v>42.097604166666663</v>
      </c>
      <c r="H176" s="99">
        <f>IFERROR(IF(H18="","",H178/SUM(H52,INDEX('Apoio - Regime de Trabalho'!$I:$I,MATCH(H26,'Apoio - Regime de Trabalho'!$A:$A,0)))),"")</f>
        <v>47.889999999999993</v>
      </c>
      <c r="I176" s="99" t="str">
        <f>IFERROR(IF(I18="","",I178/INDEX('Apoio - Regime de Trabalho'!$I:$I,MATCH(I26,'Apoio - Regime de Trabalho'!$A:$A,0))),"")</f>
        <v/>
      </c>
      <c r="L176"/>
      <c r="M176"/>
      <c r="N176"/>
      <c r="O176"/>
      <c r="P176"/>
      <c r="Q176"/>
      <c r="R176"/>
    </row>
    <row r="177" spans="1:53">
      <c r="A177" s="80"/>
      <c r="B177" s="87" t="s">
        <v>1</v>
      </c>
      <c r="C177" s="88" t="s">
        <v>379</v>
      </c>
      <c r="D177" s="177"/>
      <c r="E177" s="99">
        <f>IF(E18="","",ROUND(SUM(E61,E116,E125,E148,E153,E171)/INDEX('Apoio - Regime de Trabalho'!$G:$G,MATCH(E26,'Apoio - Regime de Trabalho'!$A:$A,0)),2))</f>
        <v>319.12</v>
      </c>
      <c r="F177" s="99">
        <f>IF(F18="","",ROUND(SUM(F61,F116,F125,F148,F153,F171)/INDEX('Apoio - Regime de Trabalho'!$G:$G,MATCH(F26,'Apoio - Regime de Trabalho'!$A:$A,0)),2))</f>
        <v>319.12</v>
      </c>
      <c r="G177" s="99">
        <f>IF(G18="","",ROUND(SUM(G61,G116,G125,G148,G153,G171)/INDEX('Apoio - Regime de Trabalho'!$G:$G,MATCH(G26,'Apoio - Regime de Trabalho'!$A:$A,0)),2))</f>
        <v>367.4</v>
      </c>
      <c r="H177" s="99">
        <f>IF(H18="","",ROUND(SUM(H61,H116,H125,H148,H153,H171)/INDEX('Apoio - Regime de Trabalho'!$G:$G,MATCH(H26,'Apoio - Regime de Trabalho'!$A:$A,0)),2))</f>
        <v>417.95</v>
      </c>
      <c r="I177" s="99" t="str">
        <f>IF(I18="","",I178/INDEX('Apoio - Regime de Trabalho'!$G:$G,MATCH(I26,'Apoio - Regime de Trabalho'!$A:$A,0)))</f>
        <v/>
      </c>
      <c r="L177"/>
      <c r="M177"/>
      <c r="N177"/>
      <c r="O177"/>
      <c r="P177"/>
      <c r="Q177"/>
      <c r="R177"/>
    </row>
    <row r="178" spans="1:53">
      <c r="A178" s="80"/>
      <c r="B178" s="87" t="s">
        <v>0</v>
      </c>
      <c r="C178" s="88" t="s">
        <v>441</v>
      </c>
      <c r="D178" s="177"/>
      <c r="E178" s="99">
        <f>IF(E18="","",ROUND(SUM(E61,E116,E125,E148,E153,E171),2))</f>
        <v>7020.66</v>
      </c>
      <c r="F178" s="99">
        <f>IF(F18="","",ROUND(SUM(F61,F116,F125,F148,F153,F171),2))</f>
        <v>7020.66</v>
      </c>
      <c r="G178" s="99">
        <f>IF(G18="","",ROUND(SUM(G61,G116,G125,G148,G153,G171),2))</f>
        <v>8082.74</v>
      </c>
      <c r="H178" s="99">
        <f>IF(H18="","",ROUND(SUM(H61,H116,H125,H148,H153,H171),2))</f>
        <v>9194.8799999999992</v>
      </c>
      <c r="I178" s="99" t="str">
        <f>IF(I18="","",SUM(I61,I116,I125,I148,I153,I171))</f>
        <v/>
      </c>
      <c r="L178"/>
      <c r="M178"/>
      <c r="N178"/>
      <c r="O178"/>
      <c r="P178"/>
      <c r="Q178"/>
      <c r="R178"/>
    </row>
    <row r="179" spans="1:53">
      <c r="A179" s="80"/>
      <c r="B179" s="87" t="s">
        <v>3</v>
      </c>
      <c r="C179" s="88" t="s">
        <v>440</v>
      </c>
      <c r="D179" s="177"/>
      <c r="E179" s="99">
        <f>IFERROR(ROUND(E178*E28,2),"")</f>
        <v>7020.66</v>
      </c>
      <c r="F179" s="99">
        <f t="shared" ref="F179:H179" si="30">IFERROR(ROUND(F178*F28,2),"")</f>
        <v>7020.66</v>
      </c>
      <c r="G179" s="99">
        <f t="shared" si="30"/>
        <v>8082.74</v>
      </c>
      <c r="H179" s="99">
        <f t="shared" si="30"/>
        <v>9194.8799999999992</v>
      </c>
      <c r="I179" s="99" t="str">
        <f>IFERROR(I178*I28,"")</f>
        <v/>
      </c>
      <c r="L179"/>
      <c r="M179"/>
      <c r="N179"/>
      <c r="O179"/>
      <c r="P179"/>
      <c r="Q179"/>
      <c r="R179"/>
    </row>
    <row r="180" spans="1:53" ht="3.75" customHeight="1">
      <c r="A180" s="287"/>
      <c r="B180" s="3"/>
      <c r="C180" s="3"/>
      <c r="D180" s="3"/>
      <c r="E180" s="3"/>
      <c r="F180" s="3"/>
      <c r="G180" s="3"/>
      <c r="H180" s="3"/>
      <c r="I180" s="3"/>
      <c r="L180"/>
      <c r="M180"/>
      <c r="N180"/>
      <c r="O180"/>
      <c r="P180"/>
      <c r="Q180"/>
      <c r="R180"/>
    </row>
    <row r="181" spans="1:53">
      <c r="A181" s="287"/>
      <c r="B181" s="171"/>
      <c r="C181" s="172" t="s">
        <v>469</v>
      </c>
      <c r="D181" s="289"/>
      <c r="E181" s="396"/>
      <c r="F181" s="396"/>
      <c r="G181" s="396"/>
      <c r="H181" s="396"/>
      <c r="I181" s="396"/>
      <c r="L181"/>
      <c r="M181"/>
      <c r="N181"/>
      <c r="O181"/>
      <c r="P181"/>
      <c r="Q181"/>
      <c r="R18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row>
    <row r="182" spans="1:53">
      <c r="A182" s="80"/>
      <c r="B182" s="87" t="s">
        <v>2</v>
      </c>
      <c r="C182" s="88" t="s">
        <v>376</v>
      </c>
      <c r="D182" s="177"/>
      <c r="E182" s="99">
        <f>IFERROR(ROUND(SUM(E61,E116,E125,E148),2)*E29,"")</f>
        <v>0</v>
      </c>
      <c r="F182" s="99">
        <f t="shared" ref="F182:H182" si="31">IFERROR(ROUND(SUM(F61,F116,F125,F148),2)*F29,"")</f>
        <v>0</v>
      </c>
      <c r="G182" s="99">
        <f t="shared" si="31"/>
        <v>0</v>
      </c>
      <c r="H182" s="99">
        <f t="shared" si="31"/>
        <v>0</v>
      </c>
      <c r="I182" s="99" t="str">
        <f>IFERROR(SUM(I61,I116,I125,I148)*I29,"")</f>
        <v/>
      </c>
      <c r="L182"/>
      <c r="M182"/>
      <c r="N182"/>
      <c r="O182"/>
      <c r="P182"/>
      <c r="Q182"/>
      <c r="R182"/>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row>
    <row r="183" spans="1:53">
      <c r="A183" s="80"/>
      <c r="B183" s="87" t="s">
        <v>1</v>
      </c>
      <c r="C183" s="88" t="s">
        <v>435</v>
      </c>
      <c r="D183" s="177"/>
      <c r="E183" s="99">
        <f>IFERROR(ROUND(E153*E29,2),"")</f>
        <v>0</v>
      </c>
      <c r="F183" s="99">
        <f>IFERROR(ROUND(F153*F29,2),"")</f>
        <v>0</v>
      </c>
      <c r="G183" s="99">
        <f>IFERROR(ROUND(G153*G29,2),"")</f>
        <v>0</v>
      </c>
      <c r="H183" s="99">
        <f>IFERROR(ROUND(H153*H29,2),"")</f>
        <v>0</v>
      </c>
      <c r="I183" s="99" t="str">
        <f>IFERROR(I153*I29,"")</f>
        <v/>
      </c>
      <c r="L183"/>
      <c r="M183" s="712"/>
      <c r="N183"/>
      <c r="O183"/>
      <c r="P183"/>
      <c r="Q183"/>
      <c r="R183"/>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row>
    <row r="184" spans="1:53">
      <c r="A184" s="81"/>
      <c r="B184" s="87" t="s">
        <v>0</v>
      </c>
      <c r="C184" s="88" t="s">
        <v>174</v>
      </c>
      <c r="D184" s="177"/>
      <c r="E184" s="99">
        <f>IFERROR(ROUND(E171*E29,2),"")</f>
        <v>0</v>
      </c>
      <c r="F184" s="99">
        <f t="shared" ref="F184:H184" si="32">IFERROR(ROUND(F171*F29,2),"")</f>
        <v>0</v>
      </c>
      <c r="G184" s="99">
        <f t="shared" si="32"/>
        <v>0</v>
      </c>
      <c r="H184" s="99">
        <f t="shared" si="32"/>
        <v>0</v>
      </c>
      <c r="I184" s="99" t="str">
        <f>IFERROR(I171*I29,"")</f>
        <v/>
      </c>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row>
    <row r="185" spans="1:53">
      <c r="A185" s="81"/>
      <c r="B185" s="87" t="s">
        <v>3</v>
      </c>
      <c r="C185" s="88" t="s">
        <v>468</v>
      </c>
      <c r="D185" s="177"/>
      <c r="E185" s="99">
        <f>IFERROR(ROUND((E182+E183+E184),2),"")</f>
        <v>0</v>
      </c>
      <c r="F185" s="99">
        <f t="shared" ref="F185:H185" si="33">IFERROR(ROUND((F182+F183+F184),2),"")</f>
        <v>0</v>
      </c>
      <c r="G185" s="99">
        <f t="shared" si="33"/>
        <v>0</v>
      </c>
      <c r="H185" s="99">
        <f t="shared" si="33"/>
        <v>0</v>
      </c>
      <c r="I185" s="99" t="str">
        <f>IFERROR(I182+I183+I184,"")</f>
        <v/>
      </c>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row>
    <row r="186" spans="1:53" ht="3.75" customHeight="1">
      <c r="A186" s="287"/>
      <c r="B186" s="3"/>
      <c r="C186" s="3"/>
      <c r="D186" s="3"/>
      <c r="E186" s="3"/>
      <c r="F186" s="3"/>
      <c r="G186" s="3"/>
      <c r="H186" s="3"/>
      <c r="I186" s="3"/>
      <c r="L186"/>
      <c r="M186"/>
      <c r="N186"/>
      <c r="O186"/>
      <c r="P186"/>
      <c r="Q186"/>
      <c r="R186"/>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row>
    <row r="187" spans="1:53">
      <c r="A187" s="287"/>
      <c r="B187" s="171"/>
      <c r="C187" s="172" t="s">
        <v>439</v>
      </c>
      <c r="D187" s="289"/>
      <c r="E187" s="396"/>
      <c r="F187" s="396"/>
      <c r="G187" s="396"/>
      <c r="H187" s="396"/>
      <c r="I187" s="396"/>
      <c r="L187"/>
      <c r="M187"/>
      <c r="N187"/>
      <c r="O187"/>
      <c r="P187"/>
      <c r="Q187"/>
      <c r="R187"/>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row>
    <row r="188" spans="1:53">
      <c r="A188" s="81"/>
      <c r="B188" s="87" t="s">
        <v>2</v>
      </c>
      <c r="C188" s="88" t="s">
        <v>376</v>
      </c>
      <c r="D188" s="177"/>
      <c r="E188" s="99">
        <f>IFERROR(ROUND(E182*$D$12,2),"")</f>
        <v>0</v>
      </c>
      <c r="F188" s="99">
        <f t="shared" ref="F188:H188" si="34">IFERROR(ROUND(F182*$D$12,2),"")</f>
        <v>0</v>
      </c>
      <c r="G188" s="99">
        <f t="shared" si="34"/>
        <v>0</v>
      </c>
      <c r="H188" s="99">
        <f t="shared" si="34"/>
        <v>0</v>
      </c>
      <c r="I188" s="99" t="str">
        <f>IFERROR(I182*IF(VLOOKUP(I$26,'Apoio - Regime de Trabalho'!$A:$I,3,FALSE)="Diária",1,$D$12),"")</f>
        <v/>
      </c>
      <c r="M188" s="409"/>
      <c r="N188" s="403"/>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row>
    <row r="189" spans="1:53">
      <c r="A189" s="81"/>
      <c r="B189" s="87" t="s">
        <v>1</v>
      </c>
      <c r="C189" s="88" t="s">
        <v>435</v>
      </c>
      <c r="D189" s="177"/>
      <c r="E189" s="99">
        <f>IFERROR(ROUND(E183*$D$12,2),"")</f>
        <v>0</v>
      </c>
      <c r="F189" s="99">
        <f t="shared" ref="F189:H189" si="35">IFERROR(ROUND(F183*$D$12,2),"")</f>
        <v>0</v>
      </c>
      <c r="G189" s="99">
        <f t="shared" si="35"/>
        <v>0</v>
      </c>
      <c r="H189" s="99">
        <f t="shared" si="35"/>
        <v>0</v>
      </c>
      <c r="I189" s="99" t="str">
        <f>IFERROR(I183*IF(VLOOKUP(I$26,'Apoio - Regime de Trabalho'!$A:$I,3,FALSE)="Diária",1,$D$12),"")</f>
        <v/>
      </c>
      <c r="M189" s="409"/>
      <c r="N189" s="403"/>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row>
    <row r="190" spans="1:53">
      <c r="A190" s="81"/>
      <c r="B190" s="87" t="s">
        <v>0</v>
      </c>
      <c r="C190" s="88" t="s">
        <v>174</v>
      </c>
      <c r="D190" s="177"/>
      <c r="E190" s="99">
        <f>IFERROR(ROUND(E184*$D$12,2),"")</f>
        <v>0</v>
      </c>
      <c r="F190" s="99">
        <f t="shared" ref="F190:H190" si="36">IFERROR(ROUND(F184*$D$12,2),"")</f>
        <v>0</v>
      </c>
      <c r="G190" s="99">
        <f t="shared" si="36"/>
        <v>0</v>
      </c>
      <c r="H190" s="99">
        <f t="shared" si="36"/>
        <v>0</v>
      </c>
      <c r="I190" s="99" t="str">
        <f>IFERROR(I184*IF(VLOOKUP(I$26,'Apoio - Regime de Trabalho'!$A:$I,3,FALSE)="Diária",1,$D$12),"")</f>
        <v/>
      </c>
      <c r="N190" s="403"/>
      <c r="O190" s="409"/>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row>
    <row r="191" spans="1:53">
      <c r="A191" s="81"/>
      <c r="B191" s="87" t="s">
        <v>3</v>
      </c>
      <c r="C191" s="88" t="s">
        <v>436</v>
      </c>
      <c r="D191" s="177"/>
      <c r="E191" s="99">
        <f>IFERROR(ROUND(E185*$D$12,2),"")</f>
        <v>0</v>
      </c>
      <c r="F191" s="99">
        <f t="shared" ref="F191:H191" si="37">IFERROR(ROUND(F185*$D$12,2),"")</f>
        <v>0</v>
      </c>
      <c r="G191" s="99">
        <f t="shared" si="37"/>
        <v>0</v>
      </c>
      <c r="H191" s="99">
        <f t="shared" si="37"/>
        <v>0</v>
      </c>
      <c r="I191" s="99"/>
      <c r="M191" s="409"/>
      <c r="N191" s="711"/>
      <c r="O191" s="404"/>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row>
    <row r="192" spans="1:53">
      <c r="F192" s="9"/>
      <c r="G192" s="9"/>
      <c r="H192" s="9"/>
      <c r="I192" s="9"/>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row>
    <row r="193" spans="1:53">
      <c r="A193" s="287"/>
      <c r="B193" s="89"/>
      <c r="C193" s="90" t="s">
        <v>380</v>
      </c>
      <c r="D193" s="90"/>
      <c r="E193" s="90"/>
      <c r="F193" s="90"/>
      <c r="G193" s="90"/>
      <c r="H193" s="90"/>
      <c r="I193" s="90"/>
      <c r="L193" s="90"/>
      <c r="M193" s="90"/>
      <c r="N193" s="90"/>
      <c r="O193" s="257"/>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row>
    <row r="194" spans="1:53" ht="3.75" customHeight="1">
      <c r="A194" s="287"/>
      <c r="B194" s="3"/>
      <c r="C194" s="3"/>
      <c r="D194" s="3"/>
      <c r="E194" s="3"/>
      <c r="F194" s="3"/>
      <c r="G194" s="3"/>
      <c r="H194" s="3"/>
      <c r="I194" s="3"/>
      <c r="K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row>
    <row r="195" spans="1:53">
      <c r="A195" s="287"/>
      <c r="B195" s="171"/>
      <c r="C195" s="172" t="s">
        <v>623</v>
      </c>
      <c r="D195" s="396" t="s">
        <v>373</v>
      </c>
      <c r="E195" s="396" t="s">
        <v>649</v>
      </c>
      <c r="F195" s="396" t="s">
        <v>649</v>
      </c>
      <c r="G195" s="396" t="s">
        <v>649</v>
      </c>
      <c r="H195" s="396" t="s">
        <v>649</v>
      </c>
      <c r="I195" s="396"/>
      <c r="K195" s="1"/>
      <c r="L195" s="396" t="s">
        <v>647</v>
      </c>
      <c r="M195" s="396" t="s">
        <v>649</v>
      </c>
      <c r="N195" s="396" t="s">
        <v>322</v>
      </c>
      <c r="O195" s="396" t="s">
        <v>396</v>
      </c>
      <c r="Q195" s="404"/>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row>
    <row r="196" spans="1:53">
      <c r="A196" s="287"/>
      <c r="B196" s="410" t="s">
        <v>624</v>
      </c>
      <c r="C196" s="400" t="s">
        <v>358</v>
      </c>
      <c r="D196" s="696"/>
      <c r="E196" s="395" t="str">
        <f>IFERROR(8*E$176*'Apoio - Notas Explicativas'!$D$6/$D196,"")</f>
        <v/>
      </c>
      <c r="F196" s="395" t="str">
        <f>IFERROR((8*F$176*'Apoio - Notas Explicativas'!$D$6/$D196)*($F$27/$E$27),"")</f>
        <v/>
      </c>
      <c r="G196" s="395"/>
      <c r="H196" s="395"/>
      <c r="I196" s="395"/>
      <c r="K196" s="1" t="str">
        <f>IFERROR(L196/D196,"")</f>
        <v/>
      </c>
      <c r="L196" s="696"/>
      <c r="M196" s="397">
        <f>SUM(E196:I196)</f>
        <v>0</v>
      </c>
      <c r="N196" s="397">
        <f>L196*M196</f>
        <v>0</v>
      </c>
      <c r="O196" s="397">
        <f>N196*$D$12</f>
        <v>0</v>
      </c>
      <c r="R196" s="407"/>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row>
    <row r="197" spans="1:53">
      <c r="A197" s="287"/>
      <c r="B197" s="410" t="s">
        <v>625</v>
      </c>
      <c r="C197" s="400" t="s">
        <v>359</v>
      </c>
      <c r="D197" s="696"/>
      <c r="E197" s="395" t="str">
        <f>IFERROR(8*E$176*'Apoio - Notas Explicativas'!$D$6/$D197,"")</f>
        <v/>
      </c>
      <c r="F197" s="395" t="str">
        <f>IFERROR((8*F$176*'Apoio - Notas Explicativas'!$D$6/$D197)*($F$27/$E$27),"")</f>
        <v/>
      </c>
      <c r="G197" s="395"/>
      <c r="H197" s="395"/>
      <c r="I197" s="393"/>
      <c r="K197" s="1" t="str">
        <f>IFERROR(L197/D197,"")</f>
        <v/>
      </c>
      <c r="L197" s="696"/>
      <c r="M197" s="397">
        <f t="shared" ref="M197:M202" si="38">SUM(E197:I197)</f>
        <v>0</v>
      </c>
      <c r="N197" s="397">
        <f t="shared" ref="N197:N202" si="39">L197*M197</f>
        <v>0</v>
      </c>
      <c r="O197" s="397">
        <f t="shared" ref="O197:O202" si="40">N197*$D$12</f>
        <v>0</v>
      </c>
      <c r="Q197" s="407"/>
      <c r="R197" s="407"/>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row>
    <row r="198" spans="1:53">
      <c r="A198" s="287"/>
      <c r="B198" s="410" t="s">
        <v>626</v>
      </c>
      <c r="C198" s="400" t="s">
        <v>360</v>
      </c>
      <c r="D198" s="696"/>
      <c r="E198" s="395" t="str">
        <f>IFERROR(8*E$176*'Apoio - Notas Explicativas'!$D$6/$D198,"")</f>
        <v/>
      </c>
      <c r="F198" s="395" t="str">
        <f>IFERROR((8*F$176*'Apoio - Notas Explicativas'!$D$6/$D198)*($F$27/$E$27),"")</f>
        <v/>
      </c>
      <c r="G198" s="395"/>
      <c r="H198" s="395"/>
      <c r="I198" s="393"/>
      <c r="K198" s="1" t="str">
        <f t="shared" ref="K198:K206" si="41">IFERROR(L198/D198,"")</f>
        <v/>
      </c>
      <c r="L198" s="696"/>
      <c r="M198" s="397">
        <f t="shared" si="38"/>
        <v>0</v>
      </c>
      <c r="N198" s="397">
        <f t="shared" si="39"/>
        <v>0</v>
      </c>
      <c r="O198" s="397">
        <f t="shared" si="40"/>
        <v>0</v>
      </c>
      <c r="R198" s="407"/>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row>
    <row r="199" spans="1:53">
      <c r="A199" s="287"/>
      <c r="B199" s="410" t="s">
        <v>627</v>
      </c>
      <c r="C199" s="400" t="s">
        <v>361</v>
      </c>
      <c r="D199" s="696"/>
      <c r="E199" s="395" t="str">
        <f>IFERROR(8*E$176*'Apoio - Notas Explicativas'!$D$6/$D199,"")</f>
        <v/>
      </c>
      <c r="F199" s="395" t="str">
        <f>IFERROR((8*F$176*'Apoio - Notas Explicativas'!$D$6/$D199)*($F$27/$E$27),"")</f>
        <v/>
      </c>
      <c r="G199" s="395"/>
      <c r="H199" s="395"/>
      <c r="I199" s="393"/>
      <c r="K199" s="1" t="str">
        <f t="shared" si="41"/>
        <v/>
      </c>
      <c r="L199" s="696"/>
      <c r="M199" s="397">
        <f t="shared" si="38"/>
        <v>0</v>
      </c>
      <c r="N199" s="397">
        <f t="shared" si="39"/>
        <v>0</v>
      </c>
      <c r="O199" s="397">
        <f t="shared" si="40"/>
        <v>0</v>
      </c>
      <c r="R199" s="407"/>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row>
    <row r="200" spans="1:53">
      <c r="A200" s="287"/>
      <c r="B200" s="410" t="s">
        <v>628</v>
      </c>
      <c r="C200" s="400" t="s">
        <v>356</v>
      </c>
      <c r="D200" s="696"/>
      <c r="E200" s="395" t="str">
        <f>IFERROR(8*E$176*'Apoio - Notas Explicativas'!$D$6/$D200,"")</f>
        <v/>
      </c>
      <c r="F200" s="395" t="str">
        <f>IFERROR((8*F$176*'Apoio - Notas Explicativas'!$D$6/$D200)*($F$27/$E$27),"")</f>
        <v/>
      </c>
      <c r="G200" s="395"/>
      <c r="H200" s="395"/>
      <c r="I200" s="393"/>
      <c r="K200" s="1" t="str">
        <f t="shared" si="41"/>
        <v/>
      </c>
      <c r="L200" s="696"/>
      <c r="M200" s="397">
        <f t="shared" si="38"/>
        <v>0</v>
      </c>
      <c r="N200" s="397">
        <f t="shared" si="39"/>
        <v>0</v>
      </c>
      <c r="O200" s="397">
        <f t="shared" si="40"/>
        <v>0</v>
      </c>
      <c r="R200" s="407"/>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row>
    <row r="201" spans="1:53">
      <c r="A201" s="287"/>
      <c r="B201" s="410" t="s">
        <v>629</v>
      </c>
      <c r="C201" s="402" t="s">
        <v>389</v>
      </c>
      <c r="D201" s="696"/>
      <c r="E201" s="395" t="str">
        <f>IFERROR(8*E$176*'Apoio - Notas Explicativas'!$D$6/$D201,"")</f>
        <v/>
      </c>
      <c r="F201" s="395" t="str">
        <f>IFERROR((8*F$176*'Apoio - Notas Explicativas'!$D$6/$D201)*($F$27/$E$27),"")</f>
        <v/>
      </c>
      <c r="G201" s="395"/>
      <c r="H201" s="395"/>
      <c r="I201" s="393"/>
      <c r="K201" s="1" t="str">
        <f t="shared" si="41"/>
        <v/>
      </c>
      <c r="L201" s="696"/>
      <c r="M201" s="397">
        <f t="shared" si="38"/>
        <v>0</v>
      </c>
      <c r="N201" s="397">
        <f t="shared" si="39"/>
        <v>0</v>
      </c>
      <c r="O201" s="397">
        <f t="shared" si="40"/>
        <v>0</v>
      </c>
      <c r="R201" s="407"/>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row>
    <row r="202" spans="1:53">
      <c r="A202" s="287"/>
      <c r="B202" s="410" t="s">
        <v>630</v>
      </c>
      <c r="C202" s="402" t="s">
        <v>390</v>
      </c>
      <c r="D202" s="696"/>
      <c r="E202" s="395" t="str">
        <f>IFERROR(8*E$176*'Apoio - Notas Explicativas'!$D$6/$D202,"")</f>
        <v/>
      </c>
      <c r="F202" s="395" t="str">
        <f>IFERROR((8*F$176*'Apoio - Notas Explicativas'!$D$6/$D202)*($F$27/$E$27),"")</f>
        <v/>
      </c>
      <c r="G202" s="395"/>
      <c r="H202" s="395"/>
      <c r="I202" s="393"/>
      <c r="K202" s="1" t="str">
        <f t="shared" si="41"/>
        <v/>
      </c>
      <c r="L202" s="696"/>
      <c r="M202" s="397">
        <f t="shared" si="38"/>
        <v>0</v>
      </c>
      <c r="N202" s="397">
        <f t="shared" si="39"/>
        <v>0</v>
      </c>
      <c r="O202" s="397">
        <f t="shared" si="40"/>
        <v>0</v>
      </c>
      <c r="R202" s="407"/>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row>
    <row r="203" spans="1:53" ht="3.75" customHeight="1">
      <c r="A203" s="287"/>
      <c r="B203" s="411"/>
      <c r="C203" s="401"/>
      <c r="D203" s="399"/>
      <c r="E203" s="395" t="str">
        <f t="shared" ref="E203" si="42">IFERROR(ROUND(E$179/$D203,2),"")</f>
        <v/>
      </c>
      <c r="F203" s="288"/>
      <c r="G203" s="288"/>
      <c r="H203" s="288"/>
      <c r="I203" s="288"/>
      <c r="K203" s="1" t="str">
        <f t="shared" si="41"/>
        <v/>
      </c>
      <c r="L203" s="408"/>
      <c r="M203" s="398"/>
      <c r="N203" s="398"/>
      <c r="O203" s="398"/>
      <c r="R203" s="407"/>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row>
    <row r="204" spans="1:53">
      <c r="A204" s="287"/>
      <c r="B204" s="412"/>
      <c r="C204" s="172" t="s">
        <v>631</v>
      </c>
      <c r="D204" s="396"/>
      <c r="E204" s="396"/>
      <c r="F204" s="396"/>
      <c r="G204" s="396"/>
      <c r="H204" s="396"/>
      <c r="I204" s="396"/>
      <c r="K204" s="1"/>
      <c r="L204" s="396"/>
      <c r="M204" s="396"/>
      <c r="N204" s="396"/>
      <c r="O204" s="396"/>
      <c r="R204" s="407"/>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row>
    <row r="205" spans="1:53">
      <c r="A205" s="287"/>
      <c r="B205" s="410" t="s">
        <v>632</v>
      </c>
      <c r="C205" s="400" t="s">
        <v>362</v>
      </c>
      <c r="D205" s="696"/>
      <c r="E205" s="395" t="str">
        <f>IFERROR(8*E$176*'Apoio - Notas Explicativas'!$D$6/$D205,"")</f>
        <v/>
      </c>
      <c r="F205" s="395" t="str">
        <f>IFERROR((8*F$176*'Apoio - Notas Explicativas'!$D$6/$D205)*($F$27/$E$27),"")</f>
        <v/>
      </c>
      <c r="G205" s="395"/>
      <c r="H205" s="395"/>
      <c r="I205" s="393"/>
      <c r="K205" s="1" t="str">
        <f t="shared" si="41"/>
        <v/>
      </c>
      <c r="L205" s="696"/>
      <c r="M205" s="397">
        <f t="shared" ref="M205:M210" si="43">SUM(E205:I205)</f>
        <v>0</v>
      </c>
      <c r="N205" s="397">
        <f t="shared" ref="N205:N210" si="44">L205*M205</f>
        <v>0</v>
      </c>
      <c r="O205" s="397">
        <f t="shared" ref="O205:O210" si="45">N205*$D$12</f>
        <v>0</v>
      </c>
      <c r="R205" s="407"/>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row>
    <row r="206" spans="1:53">
      <c r="A206" s="287"/>
      <c r="B206" s="410" t="s">
        <v>633</v>
      </c>
      <c r="C206" s="400" t="s">
        <v>357</v>
      </c>
      <c r="D206" s="696"/>
      <c r="E206" s="395" t="str">
        <f>IFERROR(8*E$176*'Apoio - Notas Explicativas'!$D$6/$D206,"")</f>
        <v/>
      </c>
      <c r="F206" s="395" t="str">
        <f>IFERROR((8*F$176*'Apoio - Notas Explicativas'!$D$6/$D206)*($F$27/$E$27),"")</f>
        <v/>
      </c>
      <c r="G206" s="395"/>
      <c r="H206" s="395"/>
      <c r="I206" s="393"/>
      <c r="K206" s="1" t="str">
        <f t="shared" si="41"/>
        <v/>
      </c>
      <c r="L206" s="696"/>
      <c r="M206" s="397">
        <f t="shared" si="43"/>
        <v>0</v>
      </c>
      <c r="N206" s="397">
        <f t="shared" si="44"/>
        <v>0</v>
      </c>
      <c r="O206" s="397">
        <f t="shared" si="45"/>
        <v>0</v>
      </c>
      <c r="R206" s="407"/>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row>
    <row r="207" spans="1:53">
      <c r="A207" s="287"/>
      <c r="B207" s="410" t="s">
        <v>634</v>
      </c>
      <c r="C207" s="400" t="s">
        <v>617</v>
      </c>
      <c r="D207" s="696"/>
      <c r="E207" s="395" t="str">
        <f>IFERROR(8*E$176*'Apoio - Notas Explicativas'!$D$7/$D207,"")</f>
        <v/>
      </c>
      <c r="F207" s="395" t="str">
        <f>IFERROR((8*F$176*'Apoio - Notas Explicativas'!$D$7/$D207)*($F$27/$E$27),"")</f>
        <v/>
      </c>
      <c r="G207" s="395"/>
      <c r="H207" s="395"/>
      <c r="I207" s="395"/>
      <c r="K207" s="1" t="str">
        <f>IFERROR(('Apoio - Notas Explicativas'!$D$7/'Apoio - Notas Explicativas'!$D$6)*L207/D207,"")</f>
        <v/>
      </c>
      <c r="L207" s="696"/>
      <c r="M207" s="397">
        <f t="shared" si="43"/>
        <v>0</v>
      </c>
      <c r="N207" s="397">
        <f t="shared" si="44"/>
        <v>0</v>
      </c>
      <c r="O207" s="397">
        <f t="shared" si="45"/>
        <v>0</v>
      </c>
      <c r="R207" s="407"/>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row>
    <row r="208" spans="1:53">
      <c r="A208" s="287"/>
      <c r="B208" s="410" t="s">
        <v>635</v>
      </c>
      <c r="C208" s="400" t="s">
        <v>618</v>
      </c>
      <c r="D208" s="696"/>
      <c r="E208" s="395" t="str">
        <f>IFERROR(8*E$176*'Apoio - Notas Explicativas'!$D$8/$D208,"")</f>
        <v/>
      </c>
      <c r="F208" s="395" t="str">
        <f>IFERROR((8*F$176*'Apoio - Notas Explicativas'!$D$7/2/$D208)*($F$27/$E$27),"")</f>
        <v/>
      </c>
      <c r="G208" s="395"/>
      <c r="H208" s="395"/>
      <c r="I208" s="395"/>
      <c r="K208" s="1" t="str">
        <f>IFERROR(('Apoio - Notas Explicativas'!$D$8/'Apoio - Notas Explicativas'!$D$6)*L208/D208,"")</f>
        <v/>
      </c>
      <c r="L208" s="696"/>
      <c r="M208" s="397">
        <f t="shared" si="43"/>
        <v>0</v>
      </c>
      <c r="N208" s="397">
        <f t="shared" si="44"/>
        <v>0</v>
      </c>
      <c r="O208" s="397">
        <f t="shared" si="45"/>
        <v>0</v>
      </c>
      <c r="R208" s="407"/>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row>
    <row r="209" spans="1:53">
      <c r="A209" s="287"/>
      <c r="B209" s="410" t="s">
        <v>636</v>
      </c>
      <c r="C209" s="400" t="s">
        <v>619</v>
      </c>
      <c r="D209" s="696"/>
      <c r="E209" s="395" t="str">
        <f>IFERROR(8*E$176/$D209,"")</f>
        <v/>
      </c>
      <c r="F209" s="395" t="str">
        <f>IFERROR((8*F$176/$D209)*($F$27/$E$27),"")</f>
        <v/>
      </c>
      <c r="G209" s="395"/>
      <c r="H209" s="395"/>
      <c r="I209" s="395"/>
      <c r="K209" s="1" t="str">
        <f>IFERROR((1/'Apoio - Notas Explicativas'!$D$6)*L209/D209,"")</f>
        <v/>
      </c>
      <c r="L209" s="696"/>
      <c r="M209" s="397">
        <f t="shared" si="43"/>
        <v>0</v>
      </c>
      <c r="N209" s="397">
        <f t="shared" si="44"/>
        <v>0</v>
      </c>
      <c r="O209" s="397">
        <f t="shared" si="45"/>
        <v>0</v>
      </c>
      <c r="R209" s="407"/>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row>
    <row r="210" spans="1:53">
      <c r="A210" s="287"/>
      <c r="B210" s="410" t="s">
        <v>637</v>
      </c>
      <c r="C210" s="400" t="s">
        <v>366</v>
      </c>
      <c r="D210" s="696"/>
      <c r="E210" s="395" t="str">
        <f>IFERROR(8*E$176*'Apoio - Notas Explicativas'!$D$6/$D210,"")</f>
        <v/>
      </c>
      <c r="F210" s="395" t="str">
        <f>IFERROR((8*F$176*'Apoio - Notas Explicativas'!$D$6/$D210)*($F$27/$E$27),"")</f>
        <v/>
      </c>
      <c r="G210" s="395"/>
      <c r="H210" s="395"/>
      <c r="I210" s="393"/>
      <c r="K210" s="1" t="str">
        <f t="shared" ref="K210:K221" si="46">IFERROR(L210/D210,"")</f>
        <v/>
      </c>
      <c r="L210" s="696"/>
      <c r="M210" s="397">
        <f t="shared" si="43"/>
        <v>0</v>
      </c>
      <c r="N210" s="397">
        <f t="shared" si="44"/>
        <v>0</v>
      </c>
      <c r="O210" s="397">
        <f t="shared" si="45"/>
        <v>0</v>
      </c>
      <c r="R210" s="407"/>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row>
    <row r="211" spans="1:53" ht="3.75" customHeight="1">
      <c r="A211" s="287"/>
      <c r="B211" s="411"/>
      <c r="C211" s="401"/>
      <c r="D211" s="399"/>
      <c r="E211" s="288"/>
      <c r="F211" s="288"/>
      <c r="G211" s="288"/>
      <c r="H211" s="288"/>
      <c r="I211" s="288"/>
      <c r="K211" s="1" t="str">
        <f t="shared" si="46"/>
        <v/>
      </c>
      <c r="L211" s="408"/>
      <c r="M211" s="398"/>
      <c r="N211" s="398"/>
      <c r="O211" s="398"/>
      <c r="R211" s="407"/>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row>
    <row r="212" spans="1:53">
      <c r="A212" s="287"/>
      <c r="B212" s="412"/>
      <c r="C212" s="172" t="s">
        <v>638</v>
      </c>
      <c r="D212" s="396"/>
      <c r="E212" s="396"/>
      <c r="F212" s="396"/>
      <c r="G212" s="396"/>
      <c r="H212" s="396"/>
      <c r="I212" s="396"/>
      <c r="K212" s="1"/>
      <c r="L212" s="396"/>
      <c r="M212" s="396"/>
      <c r="N212" s="396"/>
      <c r="O212" s="396"/>
      <c r="R212" s="407"/>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row>
    <row r="213" spans="1:53">
      <c r="A213" s="287"/>
      <c r="B213" s="410" t="s">
        <v>639</v>
      </c>
      <c r="C213" s="402" t="s">
        <v>620</v>
      </c>
      <c r="D213" s="696"/>
      <c r="E213" s="395"/>
      <c r="F213" s="395"/>
      <c r="G213" s="395" t="str">
        <f>IFERROR(8*G$176/3/$D213,"")</f>
        <v/>
      </c>
      <c r="H213" s="395" t="str">
        <f>IFERROR((8*H$176/3/$D213)*($H$27/$G$27),"")</f>
        <v/>
      </c>
      <c r="I213" s="393"/>
      <c r="K213" s="1" t="str">
        <f>IFERROR((1/'Apoio - Notas Explicativas'!$D$6)/3*L213/D213,"")</f>
        <v/>
      </c>
      <c r="L213" s="696"/>
      <c r="M213" s="397">
        <f>SUM(E213:I213)</f>
        <v>0</v>
      </c>
      <c r="N213" s="397">
        <f t="shared" ref="N213:N215" si="47">L213*M213</f>
        <v>0</v>
      </c>
      <c r="O213" s="397">
        <f t="shared" ref="O213:O215" si="48">N213*$D$12</f>
        <v>0</v>
      </c>
      <c r="R213" s="407"/>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row>
    <row r="214" spans="1:53">
      <c r="A214" s="287"/>
      <c r="B214" s="410" t="s">
        <v>640</v>
      </c>
      <c r="C214" s="402" t="s">
        <v>621</v>
      </c>
      <c r="D214" s="696"/>
      <c r="E214" s="395" t="str">
        <f>IFERROR(8*E$176/3/$D214,"")</f>
        <v/>
      </c>
      <c r="F214" s="395" t="str">
        <f>IFERROR((8*F$176/3/$D214)*($F$27/$E$27),"")</f>
        <v/>
      </c>
      <c r="G214" s="395"/>
      <c r="H214" s="395"/>
      <c r="I214" s="393"/>
      <c r="K214" s="1" t="str">
        <f>IFERROR((1/'Apoio - Notas Explicativas'!$D$6)/3*L214/D214,"")</f>
        <v/>
      </c>
      <c r="L214" s="696"/>
      <c r="M214" s="397">
        <f>SUM(E214:I214)</f>
        <v>0</v>
      </c>
      <c r="N214" s="397">
        <f t="shared" si="47"/>
        <v>0</v>
      </c>
      <c r="O214" s="397">
        <f t="shared" si="48"/>
        <v>0</v>
      </c>
      <c r="R214" s="407"/>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row>
    <row r="215" spans="1:53">
      <c r="A215" s="287"/>
      <c r="B215" s="410" t="s">
        <v>641</v>
      </c>
      <c r="C215" s="402" t="s">
        <v>622</v>
      </c>
      <c r="D215" s="696"/>
      <c r="E215" s="395" t="str">
        <f>IFERROR(8*E$176*'Apoio - Notas Explicativas'!$D$7/2/$D215,"")</f>
        <v/>
      </c>
      <c r="F215" s="395" t="str">
        <f>IFERROR((8*F$176*'Apoio - Notas Explicativas'!$D$7/2/$D215)*($F$27/$E$27),"")</f>
        <v/>
      </c>
      <c r="G215" s="395"/>
      <c r="H215" s="395"/>
      <c r="I215" s="393"/>
      <c r="K215" s="1" t="str">
        <f>IFERROR(('Apoio - Notas Explicativas'!$D$8/'Apoio - Notas Explicativas'!$D$6)*L215/D215,"")</f>
        <v/>
      </c>
      <c r="L215" s="696"/>
      <c r="M215" s="397">
        <f>SUM(E215:I215)</f>
        <v>0</v>
      </c>
      <c r="N215" s="397">
        <f t="shared" si="47"/>
        <v>0</v>
      </c>
      <c r="O215" s="397">
        <f t="shared" si="48"/>
        <v>0</v>
      </c>
      <c r="R215" s="407"/>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row>
    <row r="216" spans="1:53" ht="3.75" customHeight="1">
      <c r="A216" s="287"/>
      <c r="B216" s="411"/>
      <c r="C216" s="401"/>
      <c r="D216" s="399"/>
      <c r="E216" s="288"/>
      <c r="F216" s="288"/>
      <c r="G216" s="288"/>
      <c r="H216" s="288"/>
      <c r="I216" s="288"/>
      <c r="K216" s="1" t="str">
        <f t="shared" si="46"/>
        <v/>
      </c>
      <c r="L216" s="408"/>
      <c r="M216" s="398"/>
      <c r="N216" s="398"/>
      <c r="O216" s="398"/>
      <c r="R216" s="407"/>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row>
    <row r="217" spans="1:53">
      <c r="A217" s="287"/>
      <c r="B217" s="412"/>
      <c r="C217" s="172" t="s">
        <v>642</v>
      </c>
      <c r="D217" s="396"/>
      <c r="E217" s="396"/>
      <c r="F217" s="396"/>
      <c r="G217" s="396"/>
      <c r="H217" s="396"/>
      <c r="I217" s="396"/>
      <c r="K217" s="1"/>
      <c r="L217" s="396"/>
      <c r="M217" s="396"/>
      <c r="N217" s="396"/>
      <c r="O217" s="396"/>
      <c r="R217" s="407"/>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row>
    <row r="218" spans="1:53">
      <c r="A218" s="287"/>
      <c r="B218" s="410" t="s">
        <v>643</v>
      </c>
      <c r="C218" s="400" t="s">
        <v>648</v>
      </c>
      <c r="D218" s="696"/>
      <c r="E218" s="395"/>
      <c r="F218" s="395"/>
      <c r="G218" s="395" t="str">
        <f>IFERROR(8*G$176/3/$D218,"")</f>
        <v/>
      </c>
      <c r="H218" s="395" t="str">
        <f>IFERROR((8*H$176/3/$D218)*($H$27/$G$27),"")</f>
        <v/>
      </c>
      <c r="I218" s="393"/>
      <c r="K218" s="1" t="str">
        <f>IFERROR((1/'Apoio - Notas Explicativas'!$D$6)/3*L218/D218,"")</f>
        <v/>
      </c>
      <c r="L218" s="696"/>
      <c r="M218" s="397">
        <f>SUM(E218:I218)</f>
        <v>0</v>
      </c>
      <c r="N218" s="397">
        <f t="shared" ref="N218" si="49">L218*M218</f>
        <v>0</v>
      </c>
      <c r="O218" s="397">
        <f>N218*$D$12</f>
        <v>0</v>
      </c>
      <c r="R218" s="407"/>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row>
    <row r="219" spans="1:53" ht="3.75" customHeight="1">
      <c r="A219" s="287"/>
      <c r="B219" s="411"/>
      <c r="C219" s="401"/>
      <c r="D219" s="399"/>
      <c r="E219" s="288"/>
      <c r="F219" s="288"/>
      <c r="G219" s="288"/>
      <c r="H219" s="288"/>
      <c r="I219" s="288"/>
      <c r="K219" s="1" t="str">
        <f t="shared" si="46"/>
        <v/>
      </c>
      <c r="L219" s="408"/>
      <c r="M219" s="397"/>
      <c r="N219" s="398"/>
      <c r="O219" s="398"/>
      <c r="R219" s="407"/>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row>
    <row r="220" spans="1:53">
      <c r="A220" s="287"/>
      <c r="B220" s="412"/>
      <c r="C220" s="172" t="s">
        <v>644</v>
      </c>
      <c r="D220" s="396"/>
      <c r="E220" s="396"/>
      <c r="F220" s="396"/>
      <c r="G220" s="396"/>
      <c r="H220" s="396"/>
      <c r="I220" s="396"/>
      <c r="K220" s="1"/>
      <c r="L220" s="396"/>
      <c r="M220" s="396"/>
      <c r="N220" s="396"/>
      <c r="O220" s="396"/>
      <c r="R220" s="407"/>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row>
    <row r="221" spans="1:53">
      <c r="A221" s="287"/>
      <c r="B221" s="410" t="s">
        <v>645</v>
      </c>
      <c r="C221" s="400" t="s">
        <v>372</v>
      </c>
      <c r="D221" s="696"/>
      <c r="E221" s="395" t="str">
        <f>IFERROR(8*E$176*'Apoio - Notas Explicativas'!$D$6/$D221,"")</f>
        <v/>
      </c>
      <c r="F221" s="395" t="str">
        <f>IFERROR((8*F$176*'Apoio - Notas Explicativas'!$D$6/$D221)*($F$27/$E$27),"")</f>
        <v/>
      </c>
      <c r="G221" s="395"/>
      <c r="H221" s="395"/>
      <c r="I221" s="393"/>
      <c r="K221" s="1" t="str">
        <f t="shared" si="46"/>
        <v/>
      </c>
      <c r="L221" s="696"/>
      <c r="M221" s="397">
        <f>SUM(E221:I221)</f>
        <v>0</v>
      </c>
      <c r="N221" s="397">
        <f t="shared" ref="N221" si="50">L221*M221</f>
        <v>0</v>
      </c>
      <c r="O221" s="397">
        <f>N221*$D$12</f>
        <v>0</v>
      </c>
      <c r="R221" s="407"/>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row>
    <row r="222" spans="1:53">
      <c r="K222" s="1" t="str">
        <f t="shared" ref="K222" si="51">IFERROR(8*L222/D222,"")</f>
        <v/>
      </c>
    </row>
    <row r="223" spans="1:53">
      <c r="K223" s="1"/>
    </row>
    <row r="224" spans="1:53">
      <c r="K224" s="1"/>
    </row>
  </sheetData>
  <sheetProtection algorithmName="SHA-512" hashValue="VSJzrN9jB1nooW1+WgwXGFp4xShAiP1YQ2V9u0Sdu7e7XLr5Z9g0k+xE/HNlkmtpkJcZmuxo7rvgz+UDBg/M0A==" saltValue="Q8ZPDiEHayy5zowp9gAktg==" spinCount="100000" sheet="1" formatCells="0" formatColumns="0" formatRows="0" insertColumns="0" autoFilter="0"/>
  <dataConsolidate link="1"/>
  <mergeCells count="27">
    <mergeCell ref="B108:B113"/>
    <mergeCell ref="B142:B145"/>
    <mergeCell ref="B165:B167"/>
    <mergeCell ref="B54:B58"/>
    <mergeCell ref="B78:B81"/>
    <mergeCell ref="B86:B91"/>
    <mergeCell ref="B92:B96"/>
    <mergeCell ref="B97:B100"/>
    <mergeCell ref="B103:B106"/>
    <mergeCell ref="B50:B53"/>
    <mergeCell ref="D10:E10"/>
    <mergeCell ref="D12:E12"/>
    <mergeCell ref="D11:E11"/>
    <mergeCell ref="D13:E13"/>
    <mergeCell ref="D14:E14"/>
    <mergeCell ref="D15:E15"/>
    <mergeCell ref="B33:B35"/>
    <mergeCell ref="B36:B39"/>
    <mergeCell ref="B40:B42"/>
    <mergeCell ref="B43:B46"/>
    <mergeCell ref="B47:B49"/>
    <mergeCell ref="D9:E9"/>
    <mergeCell ref="A2:I2"/>
    <mergeCell ref="D5:E5"/>
    <mergeCell ref="D6:E6"/>
    <mergeCell ref="D7:E7"/>
    <mergeCell ref="D8:E8"/>
  </mergeCells>
  <conditionalFormatting sqref="D5:D12 E34:I34 E37:I38 E41:I41 E44:I45 E59:I60 E87:I90 E93:I95 E98:I99 E104:I105 E143:I144 D196:D202 L196:L202 D205:D210 L205:L210 D213:D215 L213:L215 D218 L218 D221 L221">
    <cfRule type="expression" dxfId="18" priority="14">
      <formula>$H$5=1</formula>
    </cfRule>
  </conditionalFormatting>
  <conditionalFormatting sqref="D9:D10 D13:D15 E20:I25 E34:I34 E37:I38 E41:I41 E44:I45 E59:I60 D79:D80 E88:I90 E93:I95 E98:I99 E104:I105 D130:D138 E143:I144">
    <cfRule type="expression" dxfId="17" priority="15">
      <formula>$H$5=2</formula>
    </cfRule>
  </conditionalFormatting>
  <conditionalFormatting sqref="D15 E21:I21 E24:I25 E87:I87 E93:I93 E98:I98 E101:I102 E104:I104 E107:I107 E111:I111">
    <cfRule type="expression" dxfId="16" priority="11">
      <formula>$H$5=4</formula>
    </cfRule>
  </conditionalFormatting>
  <conditionalFormatting sqref="E166:H166">
    <cfRule type="expression" dxfId="15" priority="5">
      <formula>$H$5=1</formula>
    </cfRule>
  </conditionalFormatting>
  <conditionalFormatting sqref="E18:I27">
    <cfRule type="expression" dxfId="14" priority="4">
      <formula>$H$5=1</formula>
    </cfRule>
  </conditionalFormatting>
  <conditionalFormatting sqref="E51:I52">
    <cfRule type="expression" dxfId="13" priority="7">
      <formula>$H$5=1</formula>
    </cfRule>
    <cfRule type="expression" dxfId="12" priority="8">
      <formula>$H$5=2</formula>
    </cfRule>
  </conditionalFormatting>
  <conditionalFormatting sqref="E109:I109">
    <cfRule type="expression" dxfId="11" priority="3">
      <formula>$H$5=4</formula>
    </cfRule>
  </conditionalFormatting>
  <conditionalFormatting sqref="E166:I166">
    <cfRule type="expression" dxfId="10" priority="6">
      <formula>$H$5=2</formula>
    </cfRule>
  </conditionalFormatting>
  <conditionalFormatting sqref="I110">
    <cfRule type="expression" dxfId="9" priority="1">
      <formula>$H$5=1</formula>
    </cfRule>
    <cfRule type="expression" dxfId="8" priority="2">
      <formula>$H$5=2</formula>
    </cfRule>
  </conditionalFormatting>
  <dataValidations count="16">
    <dataValidation showInputMessage="1" sqref="D167 D142:D145"/>
    <dataValidation type="list" allowBlank="1" showInputMessage="1" showErrorMessage="1" sqref="D56">
      <formula1>"Sim,Não"</formula1>
    </dataValidation>
    <dataValidation type="list" allowBlank="1" showInputMessage="1" showErrorMessage="1" sqref="I51">
      <formula1>"0%,50%,100%"</formula1>
    </dataValidation>
    <dataValidation type="list" showInputMessage="1" sqref="I143 D141">
      <formula1>"Indenização,Rendição,Não"</formula1>
    </dataValidation>
    <dataValidation type="whole" allowBlank="1" showInputMessage="1" showErrorMessage="1" errorTitle="Erro de entrada" error="Informar a duração do contrato em meses" sqref="D12:E12">
      <formula1>1</formula1>
      <formula2>360</formula2>
    </dataValidation>
    <dataValidation type="list" allowBlank="1" showInputMessage="1" sqref="D11:E11">
      <formula1>"Valor Global,Mês,Dia,Hora"</formula1>
    </dataValidation>
    <dataValidation type="list" allowBlank="1" showInputMessage="1" sqref="E22:I22">
      <formula1>"180,200,220"</formula1>
    </dataValidation>
    <dataValidation type="list" sqref="E34:I34">
      <formula1>"0%,30%"</formula1>
    </dataValidation>
    <dataValidation sqref="E40:I41 E43:I43 E47:I47 E50:I50 E54:I54 E33:I33 E36:I36"/>
    <dataValidation type="list" sqref="E37:I37">
      <formula1>"Salário Base, Salário Mínimo,Não incide"</formula1>
    </dataValidation>
    <dataValidation type="list" sqref="E38:I38">
      <formula1>"0,10%,20%,40%"</formula1>
    </dataValidation>
    <dataValidation type="list" allowBlank="1" sqref="E38:I38">
      <formula1>"0%,10%,20%,40%"</formula1>
    </dataValidation>
    <dataValidation type="list" allowBlank="1" sqref="E51:H51">
      <formula1>"0%,50%,100%"</formula1>
    </dataValidation>
    <dataValidation type="list" showInputMessage="1" sqref="E143:H143">
      <formula1>"Indenização,Rendição"</formula1>
    </dataValidation>
    <dataValidation allowBlank="1" sqref="A19:XFD19"/>
    <dataValidation type="list" allowBlank="1" sqref="D152">
      <formula1>"Sim,Não"</formula1>
    </dataValidation>
  </dataValidations>
  <hyperlinks>
    <hyperlink ref="C151" location="'Mat Individual e Uniformes func'!A1" display="Material Individual e Uniformes"/>
    <hyperlink ref="C152" location="'Mat Coletivo e Equipamentos'!A1" display="Material Coletivo e Equipamentos"/>
    <hyperlink ref="E25:H25" r:id="rId1" display="http://www3.mte.gov.br/sistemas/mediador/ConsultarInstColetivo"/>
  </hyperlinks>
  <pageMargins left="0.51181102362204722" right="0.51181102362204722" top="0.78740157480314965" bottom="0.78740157480314965" header="0.31496062992125984" footer="0.31496062992125984"/>
  <pageSetup paperSize="9" fitToHeight="20" orientation="portrait" r:id="rId2"/>
  <headerFooter>
    <oddFooter>&amp;R&amp;P/&amp;N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9457" r:id="rId5" name="Group Box 1">
              <controlPr defaultSize="0" autoFill="0" autoPict="0">
                <anchor>
                  <from>
                    <xdr:col>5</xdr:col>
                    <xdr:colOff>200025</xdr:colOff>
                    <xdr:row>2</xdr:row>
                    <xdr:rowOff>238125</xdr:rowOff>
                  </from>
                  <to>
                    <xdr:col>6</xdr:col>
                    <xdr:colOff>971550</xdr:colOff>
                    <xdr:row>10</xdr:row>
                    <xdr:rowOff>133350</xdr:rowOff>
                  </to>
                </anchor>
              </controlPr>
            </control>
          </mc:Choice>
        </mc:AlternateContent>
        <mc:AlternateContent xmlns:mc="http://schemas.openxmlformats.org/markup-compatibility/2006">
          <mc:Choice Requires="x14">
            <control shapeId="19458" r:id="rId6" name="Option Button 2">
              <controlPr defaultSize="0" autoFill="0" autoLine="0" autoPict="0" altText="Formação de Preços">
                <anchor>
                  <from>
                    <xdr:col>5</xdr:col>
                    <xdr:colOff>352425</xdr:colOff>
                    <xdr:row>4</xdr:row>
                    <xdr:rowOff>9525</xdr:rowOff>
                  </from>
                  <to>
                    <xdr:col>6</xdr:col>
                    <xdr:colOff>409575</xdr:colOff>
                    <xdr:row>5</xdr:row>
                    <xdr:rowOff>95250</xdr:rowOff>
                  </to>
                </anchor>
              </controlPr>
            </control>
          </mc:Choice>
        </mc:AlternateContent>
        <mc:AlternateContent xmlns:mc="http://schemas.openxmlformats.org/markup-compatibility/2006">
          <mc:Choice Requires="x14">
            <control shapeId="19459" r:id="rId7" name="Option Button 3">
              <controlPr defaultSize="0" autoFill="0" autoLine="0" autoPict="0">
                <anchor moveWithCells="1">
                  <from>
                    <xdr:col>5</xdr:col>
                    <xdr:colOff>352425</xdr:colOff>
                    <xdr:row>5</xdr:row>
                    <xdr:rowOff>123825</xdr:rowOff>
                  </from>
                  <to>
                    <xdr:col>6</xdr:col>
                    <xdr:colOff>409575</xdr:colOff>
                    <xdr:row>7</xdr:row>
                    <xdr:rowOff>28575</xdr:rowOff>
                  </to>
                </anchor>
              </controlPr>
            </control>
          </mc:Choice>
        </mc:AlternateContent>
        <mc:AlternateContent xmlns:mc="http://schemas.openxmlformats.org/markup-compatibility/2006">
          <mc:Choice Requires="x14">
            <control shapeId="19460" r:id="rId8" name="Option Button 4">
              <controlPr defaultSize="0" autoFill="0" autoLine="0" autoPict="0">
                <anchor moveWithCells="1">
                  <from>
                    <xdr:col>5</xdr:col>
                    <xdr:colOff>342900</xdr:colOff>
                    <xdr:row>8</xdr:row>
                    <xdr:rowOff>180975</xdr:rowOff>
                  </from>
                  <to>
                    <xdr:col>6</xdr:col>
                    <xdr:colOff>409575</xdr:colOff>
                    <xdr:row>10</xdr:row>
                    <xdr:rowOff>85725</xdr:rowOff>
                  </to>
                </anchor>
              </controlPr>
            </control>
          </mc:Choice>
        </mc:AlternateContent>
        <mc:AlternateContent xmlns:mc="http://schemas.openxmlformats.org/markup-compatibility/2006">
          <mc:Choice Requires="x14">
            <control shapeId="19466" r:id="rId9" name="Option Button 10">
              <controlPr defaultSize="0" autoFill="0" autoLine="0" autoPict="0" altText="Formação de Preços">
                <anchor>
                  <from>
                    <xdr:col>5</xdr:col>
                    <xdr:colOff>342900</xdr:colOff>
                    <xdr:row>7</xdr:row>
                    <xdr:rowOff>57150</xdr:rowOff>
                  </from>
                  <to>
                    <xdr:col>6</xdr:col>
                    <xdr:colOff>409575</xdr:colOff>
                    <xdr:row>8</xdr:row>
                    <xdr:rowOff>152400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showInputMessage="1" showErrorMessage="1">
          <x14:formula1>
            <xm:f>'Apoio - Posto'!#REF!</xm:f>
          </x14:formula1>
          <xm:sqref>G10:G11</xm:sqref>
        </x14:dataValidation>
        <x14:dataValidation type="list" allowBlank="1" showInputMessage="1" showErrorMessage="1">
          <x14:formula1>
            <xm:f>'Apoio - Notas Explicativas'!$H$15:$K$15</xm:f>
          </x14:formula1>
          <xm:sqref>D13</xm:sqref>
        </x14:dataValidation>
        <x14:dataValidation type="list" allowBlank="1">
          <x14:formula1>
            <xm:f>'Apoio - Dados'!$A:$A</xm:f>
          </x14:formula1>
          <xm:sqref>D5:E5</xm:sqref>
        </x14:dataValidation>
        <x14:dataValidation type="list">
          <x14:formula1>
            <xm:f>'Apoio - Posto'!$C:$C</xm:f>
          </x14:formula1>
          <xm:sqref>E23:I23</xm:sqref>
        </x14:dataValidation>
        <x14:dataValidation type="list" allowBlank="1">
          <x14:formula1>
            <xm:f>'Apoio - Posto'!$A:$A</xm:f>
          </x14:formula1>
          <xm:sqref>E18:I18</xm:sqref>
        </x14:dataValidation>
        <x14:dataValidation type="list" allowBlank="1">
          <x14:formula1>
            <xm:f>'Apoio - Posto'!$B:$B</xm:f>
          </x14:formula1>
          <xm:sqref>E20:I20</xm:sqref>
        </x14:dataValidation>
        <x14:dataValidation type="list" allowBlank="1" showInputMessage="1" showErrorMessage="1">
          <x14:formula1>
            <xm:f>'Apoio - Regime de Trabalho'!$A:$A</xm:f>
          </x14:formula1>
          <xm:sqref>E26:I26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8"/>
  <dimension ref="B1:P76"/>
  <sheetViews>
    <sheetView showGridLines="0" topLeftCell="A16" zoomScale="90" zoomScaleNormal="90" workbookViewId="0">
      <selection activeCell="J77" sqref="J77"/>
    </sheetView>
  </sheetViews>
  <sheetFormatPr defaultColWidth="9.140625" defaultRowHeight="15"/>
  <cols>
    <col min="1" max="1" width="1.5703125" style="42" customWidth="1"/>
    <col min="2" max="2" width="26.140625" bestFit="1" customWidth="1"/>
    <col min="3" max="3" width="12" customWidth="1"/>
    <col min="4" max="6" width="14.140625" customWidth="1"/>
    <col min="7" max="7" width="16.140625" customWidth="1"/>
    <col min="8" max="9" width="14.7109375" customWidth="1"/>
    <col min="10" max="10" width="17.85546875" bestFit="1" customWidth="1"/>
    <col min="11" max="11" width="19" bestFit="1" customWidth="1"/>
    <col min="12" max="12" width="17.140625" style="42" bestFit="1" customWidth="1"/>
    <col min="13" max="13" width="14.85546875" style="42" customWidth="1"/>
    <col min="14" max="14" width="15.5703125" style="42" bestFit="1" customWidth="1"/>
    <col min="15" max="15" width="14.28515625" style="42" bestFit="1" customWidth="1"/>
    <col min="16" max="16" width="11" style="42" bestFit="1" customWidth="1"/>
    <col min="17" max="16384" width="9.140625" style="42"/>
  </cols>
  <sheetData>
    <row r="1" spans="2:12" ht="6.75" customHeight="1"/>
    <row r="2" spans="2:12" ht="26.25">
      <c r="B2" s="865" t="s">
        <v>76</v>
      </c>
      <c r="C2" s="866"/>
      <c r="D2" s="866"/>
      <c r="E2" s="866"/>
      <c r="F2" s="866"/>
      <c r="G2" s="866"/>
      <c r="H2" s="866"/>
      <c r="I2" s="866"/>
      <c r="J2" s="866"/>
      <c r="K2" s="867"/>
    </row>
    <row r="3" spans="2:12" ht="21">
      <c r="B3" s="873" t="str">
        <f>IF(IFERROR(SUM(Produtividade!L196:L221)&gt;0,FALSE()),Produtividade!D5,
IF(IFERROR(Veículos!$E$3&lt;&gt;"",FALSE()),'Mão de Obra'!D5,'Mão de Obra'!D5))</f>
        <v>SECRETARIA MUNICIPAL DA SAÚDE (SMS)</v>
      </c>
      <c r="C3" s="874"/>
      <c r="D3" s="874"/>
      <c r="E3" s="874"/>
      <c r="F3" s="874"/>
      <c r="G3" s="874"/>
      <c r="H3" s="874"/>
      <c r="I3" s="874"/>
      <c r="J3" s="874"/>
      <c r="K3" s="875"/>
    </row>
    <row r="4" spans="2:12" ht="21">
      <c r="B4" s="868" t="s">
        <v>432</v>
      </c>
      <c r="C4" s="869"/>
      <c r="D4" s="869"/>
      <c r="E4" s="869"/>
      <c r="F4" s="869"/>
      <c r="G4" s="869"/>
      <c r="H4" s="869"/>
      <c r="I4" s="869"/>
      <c r="J4" s="869"/>
      <c r="K4" s="870"/>
    </row>
    <row r="5" spans="2:12" ht="6.75" customHeight="1">
      <c r="B5" s="25"/>
      <c r="C5" s="25"/>
      <c r="D5" s="25"/>
      <c r="E5" s="25"/>
      <c r="F5" s="25"/>
      <c r="G5" s="25"/>
      <c r="H5" s="25"/>
      <c r="I5" s="25"/>
      <c r="J5" s="25"/>
      <c r="K5" s="25"/>
      <c r="L5" s="487"/>
    </row>
    <row r="6" spans="2:12" ht="15" customHeight="1">
      <c r="B6" s="343" t="s">
        <v>74</v>
      </c>
      <c r="C6" s="879">
        <f>IF(IFERROR(SUM(Produtividade!L196:L221)&gt;0,FALSE()),Produtividade!D6,
IF(IFERROR(Veículos!$E$3&lt;&gt;"",FALSE()),'Mão de Obra'!D6,
'Mão de Obra'!D6))</f>
        <v>0</v>
      </c>
      <c r="D6" s="879"/>
      <c r="E6" s="879"/>
      <c r="F6" s="879"/>
      <c r="G6" s="883" t="s">
        <v>70</v>
      </c>
      <c r="H6" s="883"/>
      <c r="I6" s="883"/>
      <c r="J6" s="881">
        <f>IF(IFERROR(SUM(Produtividade!L196:L221)&gt;0,FALSE()),Produtividade!D12,
IF(IFERROR(Veículos!$E$3&lt;&gt;"",FALSE()),'Mão de Obra'!D12,
'Mão de Obra'!D12))</f>
        <v>12</v>
      </c>
      <c r="K6" s="882"/>
    </row>
    <row r="7" spans="2:12" ht="15" customHeight="1">
      <c r="B7" s="349" t="s">
        <v>249</v>
      </c>
      <c r="C7" s="880" t="str">
        <f>IF(IFERROR(SUM(Produtividade!L196:L221)&gt;0,FALSE()),Produtividade!D7,
IF(IFERROR(Veículos!$E$3&lt;&gt;"",FALSE()),'Mão de Obra'!D7,
'Mão de Obra'!D7))</f>
        <v>26.0.000045140-0</v>
      </c>
      <c r="D7" s="880"/>
      <c r="E7" s="880"/>
      <c r="F7" s="880"/>
      <c r="G7" s="864" t="s">
        <v>110</v>
      </c>
      <c r="H7" s="864"/>
      <c r="I7" s="864"/>
      <c r="J7" s="871">
        <f>IF(IFERROR(SUM(Produtividade!L196:L221)&gt;0,FALSE()),Produtividade!D11,
IF(IFERROR(Veículos!$E$3&lt;&gt;"",FALSE()),'Mão de Obra'!D11,
'Mão de Obra'!D11))</f>
        <v>0</v>
      </c>
      <c r="K7" s="872"/>
    </row>
    <row r="8" spans="2:12" ht="32.25" customHeight="1">
      <c r="B8" s="876" t="str">
        <f>CONCATENATE("OBJETO: ",
IF(IFERROR(SUM(Produtividade!L196:L221)&gt;0,FALSE()),Produtividade!D8,
IF(IFERROR(Veículos!$E$3&lt;&gt;"",FALSE()),'Mão de Obra'!D8,
'Mão de Obra'!D8)))</f>
        <v>OBJETO: Contratação de empresa para a prestação de serviços de locação de 01 (um) veículo tipo van, com motorista, destinado à Secretaria Municipal de Saúde de Porto Alegre.</v>
      </c>
      <c r="C8" s="877"/>
      <c r="D8" s="877"/>
      <c r="E8" s="877"/>
      <c r="F8" s="877"/>
      <c r="G8" s="877"/>
      <c r="H8" s="877"/>
      <c r="I8" s="877"/>
      <c r="J8" s="877"/>
      <c r="K8" s="878"/>
    </row>
    <row r="9" spans="2:12" ht="15" customHeight="1">
      <c r="B9" s="349" t="s">
        <v>64</v>
      </c>
      <c r="C9" s="860"/>
      <c r="D9" s="860"/>
      <c r="E9" s="860"/>
      <c r="F9" s="860"/>
      <c r="G9" s="864" t="s">
        <v>318</v>
      </c>
      <c r="H9" s="864"/>
      <c r="I9" s="348"/>
      <c r="J9" s="871" t="str">
        <f>IF(IFERROR(SUM(Produtividade!L196:L221)&gt;0,FALSE()),Produtividade!D13,
IF(IFERROR(Veículos!$E$3&lt;&gt;"",FALSE()),'Mão de Obra'!D13,
'Mão de Obra'!D13))</f>
        <v>Lucro Presumido</v>
      </c>
      <c r="K9" s="872"/>
    </row>
    <row r="10" spans="2:12">
      <c r="B10" s="346" t="s">
        <v>72</v>
      </c>
      <c r="C10" s="861"/>
      <c r="D10" s="861"/>
      <c r="E10" s="861"/>
      <c r="F10" s="861"/>
      <c r="G10" s="855" t="s">
        <v>319</v>
      </c>
      <c r="H10" s="855"/>
      <c r="I10" s="347"/>
      <c r="J10" s="851">
        <f>IF(IFERROR(SUM(Produtividade!L196:L221)&gt;0,FALSE()),Produtividade!D14,
IF(IFERROR(Veículos!$E$3&lt;&gt;"",FALSE()),'Mão de Obra'!D14,
'Mão de Obra'!D14))</f>
        <v>0</v>
      </c>
      <c r="K10" s="852"/>
    </row>
    <row r="11" spans="2:12" ht="15" customHeight="1">
      <c r="B11" s="346" t="s">
        <v>65</v>
      </c>
      <c r="C11" s="860"/>
      <c r="D11" s="860"/>
      <c r="E11" s="860"/>
      <c r="F11" s="860"/>
      <c r="G11" s="855" t="s">
        <v>75</v>
      </c>
      <c r="H11" s="855"/>
      <c r="I11" s="862" t="s">
        <v>458</v>
      </c>
      <c r="J11" s="862"/>
      <c r="K11" s="863"/>
    </row>
    <row r="12" spans="2:12">
      <c r="B12" s="345" t="s">
        <v>66</v>
      </c>
      <c r="C12" s="859"/>
      <c r="D12" s="859"/>
      <c r="E12" s="859"/>
      <c r="F12" s="859"/>
      <c r="G12" s="855" t="s">
        <v>321</v>
      </c>
      <c r="H12" s="855"/>
      <c r="I12" s="857"/>
      <c r="J12" s="857"/>
      <c r="K12" s="858"/>
    </row>
    <row r="13" spans="2:12">
      <c r="B13" s="344" t="s">
        <v>73</v>
      </c>
      <c r="C13" s="850"/>
      <c r="D13" s="850"/>
      <c r="E13" s="850"/>
      <c r="F13" s="850"/>
      <c r="G13" s="856" t="s">
        <v>67</v>
      </c>
      <c r="H13" s="856"/>
      <c r="I13" s="853"/>
      <c r="J13" s="853"/>
      <c r="K13" s="854"/>
    </row>
    <row r="14" spans="2:12" ht="6.75" customHeight="1">
      <c r="B14" s="26"/>
      <c r="C14" s="26"/>
      <c r="D14" s="26"/>
      <c r="E14" s="26"/>
      <c r="F14" s="26"/>
      <c r="G14" s="26"/>
      <c r="H14" s="26"/>
      <c r="I14" s="26"/>
      <c r="J14" s="26"/>
    </row>
    <row r="15" spans="2:12">
      <c r="B15" s="462" t="s">
        <v>417</v>
      </c>
      <c r="C15" s="463"/>
      <c r="D15" s="463"/>
      <c r="E15" s="463"/>
      <c r="F15" s="463"/>
      <c r="G15" s="463"/>
      <c r="H15" s="463"/>
      <c r="I15" s="463"/>
      <c r="J15" s="463"/>
      <c r="K15" s="464"/>
    </row>
    <row r="16" spans="2:12" ht="30">
      <c r="B16" s="465" t="s">
        <v>491</v>
      </c>
      <c r="C16" s="466" t="s">
        <v>69</v>
      </c>
      <c r="D16" s="466" t="s">
        <v>68</v>
      </c>
      <c r="E16" s="466" t="s">
        <v>407</v>
      </c>
      <c r="F16" s="467" t="s">
        <v>408</v>
      </c>
      <c r="G16" s="467" t="s">
        <v>429</v>
      </c>
      <c r="H16" s="467" t="s">
        <v>430</v>
      </c>
      <c r="I16" s="467" t="s">
        <v>431</v>
      </c>
      <c r="J16" s="467" t="s">
        <v>443</v>
      </c>
      <c r="K16" s="468" t="s">
        <v>396</v>
      </c>
    </row>
    <row r="17" spans="2:14" ht="33" customHeight="1">
      <c r="B17" s="469" t="str">
        <f>IF(
INDEX('Mão de Obra'!$E$18:$X$18,1,ROW()-ROW($B$16))&lt;&gt;0,
INDEX('Mão de Obra'!$E$18:$X$18,1,ROW()-ROW($B$16)),
"OCULTAR ESTA LINHA"
)</f>
        <v>Motorista Van</v>
      </c>
      <c r="C17" s="470" t="str">
        <f>INDEX('Mão de Obra'!$E$17:$X$17,1,ROW()-ROW($C$16))</f>
        <v>Posto A</v>
      </c>
      <c r="D17" s="471" t="str">
        <f>INDEX('Mão de Obra'!$E$26:$X$26,1,ROW()-ROW($D$16))</f>
        <v>44h (5 dia/sem)</v>
      </c>
      <c r="E17" s="472">
        <f>INDEX('Mão de Obra'!$E$27:$X$27,1,ROW()-ROW($E$16))</f>
        <v>1</v>
      </c>
      <c r="F17" s="472">
        <f>INDEX('Mão de Obra'!$E$29:$X$29,1,ROW()-ROW($F$16))</f>
        <v>1</v>
      </c>
      <c r="G17" s="473">
        <f>INDEX('Mão de Obra'!$E$176:$X$176,1,ROW()-ROW($G$16))</f>
        <v>29.94</v>
      </c>
      <c r="H17" s="473">
        <f>INDEX('Mão de Obra'!$E$177:$X$177,1,ROW()-ROW($I$16))</f>
        <v>272.20999999999998</v>
      </c>
      <c r="I17" s="473">
        <f>INDEX('Mão de Obra'!$E$179:$X$179,1,ROW()-ROW($I$16))</f>
        <v>5988.64</v>
      </c>
      <c r="J17" s="473">
        <f>INDEX('Mão de Obra'!$E$185:$X$185,1,ROW()-ROW($I$16))</f>
        <v>5988.64</v>
      </c>
      <c r="K17" s="474">
        <f>INDEX('Mão de Obra'!$E$191:$X$191,1,ROW()-ROW($I$16))</f>
        <v>71863.679999999993</v>
      </c>
      <c r="M17" s="492"/>
    </row>
    <row r="18" spans="2:14" hidden="1">
      <c r="B18" s="469" t="str">
        <f>IF(
INDEX('Mão de Obra'!$E$18:$X$18,1,ROW()-ROW($B$16))&lt;&gt;0,
INDEX('Mão de Obra'!$E$18:$X$18,1,ROW()-ROW($B$16)),
"OCULTAR ESTA LINHA"
)</f>
        <v>OCULTAR ESTA LINHA</v>
      </c>
      <c r="C18" s="470" t="str">
        <f>INDEX('Mão de Obra'!$E$17:$X$17,1,ROW()-ROW($C$16))</f>
        <v>Posto B</v>
      </c>
      <c r="D18" s="471">
        <f>INDEX('Mão de Obra'!$E$26:$X$26,1,ROW()-ROW($D$16))</f>
        <v>0</v>
      </c>
      <c r="E18" s="472">
        <f>INDEX('Mão de Obra'!$E$27:$X$27,1,ROW()-ROW($E$16))</f>
        <v>0</v>
      </c>
      <c r="F18" s="472" t="str">
        <f>INDEX('Mão de Obra'!$E$29:$X$29,1,ROW()-ROW($F$16))</f>
        <v/>
      </c>
      <c r="G18" s="473" t="str">
        <f>INDEX('Mão de Obra'!$E$176:$X$176,1,ROW()-ROW($G$16))</f>
        <v/>
      </c>
      <c r="H18" s="473" t="str">
        <f>INDEX('Mão de Obra'!$E$177:$X$177,1,ROW()-ROW($I$16))</f>
        <v/>
      </c>
      <c r="I18" s="473" t="str">
        <f>INDEX('Mão de Obra'!$E$179:$X$179,1,ROW()-ROW($I$16))</f>
        <v/>
      </c>
      <c r="J18" s="473" t="str">
        <f>INDEX('Mão de Obra'!$E$185:$X$185,1,ROW()-ROW($I$16))</f>
        <v/>
      </c>
      <c r="K18" s="474" t="str">
        <f>INDEX('Mão de Obra'!$E$191:$X$191,1,ROW()-ROW($I$16))</f>
        <v/>
      </c>
      <c r="N18" s="491"/>
    </row>
    <row r="19" spans="2:14" hidden="1">
      <c r="B19" s="469" t="str">
        <f>IF(
INDEX('Mão de Obra'!$E$18:$X$18,1,ROW()-ROW($B$16))&lt;&gt;0,
INDEX('Mão de Obra'!$E$18:$X$18,1,ROW()-ROW($B$16)),
"OCULTAR ESTA LINHA"
)</f>
        <v>OCULTAR ESTA LINHA</v>
      </c>
      <c r="C19" s="470" t="str">
        <f>INDEX('Mão de Obra'!$E$17:$X$17,1,ROW()-ROW($C$16))</f>
        <v>Posto C</v>
      </c>
      <c r="D19" s="471">
        <f>INDEX('Mão de Obra'!$E$26:$X$26,1,ROW()-ROW($D$16))</f>
        <v>0</v>
      </c>
      <c r="E19" s="472">
        <f>INDEX('Mão de Obra'!$E$27:$X$27,1,ROW()-ROW($E$16))</f>
        <v>0</v>
      </c>
      <c r="F19" s="472" t="str">
        <f>INDEX('Mão de Obra'!$E$29:$X$29,1,ROW()-ROW($F$16))</f>
        <v/>
      </c>
      <c r="G19" s="473" t="str">
        <f>INDEX('Mão de Obra'!$E$176:$X$176,1,ROW()-ROW($G$16))</f>
        <v/>
      </c>
      <c r="H19" s="473" t="str">
        <f>INDEX('Mão de Obra'!$E$177:$X$177,1,ROW()-ROW($I$16))</f>
        <v/>
      </c>
      <c r="I19" s="473" t="str">
        <f>INDEX('Mão de Obra'!$E$179:$X$179,1,ROW()-ROW($I$16))</f>
        <v/>
      </c>
      <c r="J19" s="473" t="str">
        <f>INDEX('Mão de Obra'!$E$185:$X$185,1,ROW()-ROW($I$16))</f>
        <v/>
      </c>
      <c r="K19" s="474" t="str">
        <f>INDEX('Mão de Obra'!$E$191:$X$191,1,ROW()-ROW($I$16))</f>
        <v/>
      </c>
      <c r="M19" s="492"/>
    </row>
    <row r="20" spans="2:14" hidden="1">
      <c r="B20" s="469" t="str">
        <f>IF(
INDEX('Mão de Obra'!$E$18:$X$18,1,ROW()-ROW($B$16))&lt;&gt;0,
INDEX('Mão de Obra'!$E$18:$X$18,1,ROW()-ROW($B$16)),
"OCULTAR ESTA LINHA"
)</f>
        <v>OCULTAR ESTA LINHA</v>
      </c>
      <c r="C20" s="470" t="str">
        <f>INDEX('Mão de Obra'!$E$17:$X$17,1,ROW()-ROW($C$16))</f>
        <v>Posto D</v>
      </c>
      <c r="D20" s="471">
        <f>INDEX('Mão de Obra'!$E$26:$X$26,1,ROW()-ROW($D$16))</f>
        <v>0</v>
      </c>
      <c r="E20" s="472">
        <f>INDEX('Mão de Obra'!$E$27:$X$27,1,ROW()-ROW($E$16))</f>
        <v>0</v>
      </c>
      <c r="F20" s="472" t="str">
        <f>INDEX('Mão de Obra'!$E$29:$X$29,1,ROW()-ROW($F$16))</f>
        <v/>
      </c>
      <c r="G20" s="473" t="str">
        <f>INDEX('Mão de Obra'!$E$176:$X$176,1,ROW()-ROW($G$16))</f>
        <v/>
      </c>
      <c r="H20" s="473" t="str">
        <f>INDEX('Mão de Obra'!$E$177:$X$177,1,ROW()-ROW($I$16))</f>
        <v/>
      </c>
      <c r="I20" s="473" t="str">
        <f>INDEX('Mão de Obra'!$E$179:$X$179,1,ROW()-ROW($I$16))</f>
        <v/>
      </c>
      <c r="J20" s="473" t="str">
        <f>INDEX('Mão de Obra'!$E$185:$X$185,1,ROW()-ROW($I$16))</f>
        <v/>
      </c>
      <c r="K20" s="474" t="str">
        <f>INDEX('Mão de Obra'!$E$191:$X$191,1,ROW()-ROW($I$16))</f>
        <v/>
      </c>
      <c r="M20" s="493"/>
    </row>
    <row r="21" spans="2:14" hidden="1">
      <c r="B21" s="469" t="str">
        <f>IF(
INDEX('Mão de Obra'!$E$18:$X$18,1,ROW()-ROW($B$16))&lt;&gt;0,
INDEX('Mão de Obra'!$E$18:$X$18,1,ROW()-ROW($B$16)),
"OCULTAR ESTA LINHA"
)</f>
        <v>OCULTAR ESTA LINHA</v>
      </c>
      <c r="C21" s="470" t="str">
        <f>INDEX('Mão de Obra'!$E$17:$X$17,1,ROW()-ROW($C$16))</f>
        <v>Posto E</v>
      </c>
      <c r="D21" s="471">
        <f>INDEX('Mão de Obra'!$E$26:$X$26,1,ROW()-ROW($D$16))</f>
        <v>0</v>
      </c>
      <c r="E21" s="472">
        <f>INDEX('Mão de Obra'!$E$27:$X$27,1,ROW()-ROW($E$16))</f>
        <v>0</v>
      </c>
      <c r="F21" s="472" t="str">
        <f>INDEX('Mão de Obra'!$E$29:$X$29,1,ROW()-ROW($F$16))</f>
        <v/>
      </c>
      <c r="G21" s="473" t="str">
        <f>INDEX('Mão de Obra'!$E$176:$X$176,1,ROW()-ROW($G$16))</f>
        <v/>
      </c>
      <c r="H21" s="473" t="str">
        <f>INDEX('Mão de Obra'!$E$177:$X$177,1,ROW()-ROW($I$16))</f>
        <v/>
      </c>
      <c r="I21" s="473" t="str">
        <f>INDEX('Mão de Obra'!$E$179:$X$179,1,ROW()-ROW($I$16))</f>
        <v/>
      </c>
      <c r="J21" s="473" t="str">
        <f>INDEX('Mão de Obra'!$E$185:$X$185,1,ROW()-ROW($I$16))</f>
        <v/>
      </c>
      <c r="K21" s="474" t="str">
        <f>INDEX('Mão de Obra'!$E$191:$X$191,1,ROW()-ROW($I$16))</f>
        <v/>
      </c>
    </row>
    <row r="22" spans="2:14" hidden="1">
      <c r="B22" s="469" t="str">
        <f>IF(
INDEX('Mão de Obra'!$E$18:$X$18,1,ROW()-ROW($B$16))&lt;&gt;0,
INDEX('Mão de Obra'!$E$18:$X$18,1,ROW()-ROW($B$16)),
"OCULTAR ESTA LINHA"
)</f>
        <v>OCULTAR ESTA LINHA</v>
      </c>
      <c r="C22" s="470" t="str">
        <f>INDEX('Mão de Obra'!$E$17:$X$17,1,ROW()-ROW($C$16))</f>
        <v>Posto F</v>
      </c>
      <c r="D22" s="471">
        <f>INDEX('Mão de Obra'!$E$26:$X$26,1,ROW()-ROW($D$16))</f>
        <v>0</v>
      </c>
      <c r="E22" s="472">
        <f>INDEX('Mão de Obra'!$E$27:$X$27,1,ROW()-ROW($E$16))</f>
        <v>0</v>
      </c>
      <c r="F22" s="472" t="str">
        <f>INDEX('Mão de Obra'!$E$29:$X$29,1,ROW()-ROW($F$16))</f>
        <v/>
      </c>
      <c r="G22" s="473" t="str">
        <f>INDEX('Mão de Obra'!$E$176:$X$176,1,ROW()-ROW($G$16))</f>
        <v/>
      </c>
      <c r="H22" s="473" t="str">
        <f>INDEX('Mão de Obra'!$E$177:$X$177,1,ROW()-ROW($I$16))</f>
        <v/>
      </c>
      <c r="I22" s="473" t="str">
        <f>INDEX('Mão de Obra'!$E$179:$X$179,1,ROW()-ROW($I$16))</f>
        <v/>
      </c>
      <c r="J22" s="473" t="str">
        <f>INDEX('Mão de Obra'!$E$185:$X$185,1,ROW()-ROW($I$16))</f>
        <v/>
      </c>
      <c r="K22" s="474" t="str">
        <f>INDEX('Mão de Obra'!$E$191:$X$191,1,ROW()-ROW($I$16))</f>
        <v/>
      </c>
    </row>
    <row r="23" spans="2:14" hidden="1">
      <c r="B23" s="469" t="str">
        <f>IF(
INDEX('Mão de Obra'!$E$18:$X$18,1,ROW()-ROW($B$16))&lt;&gt;0,
INDEX('Mão de Obra'!$E$18:$X$18,1,ROW()-ROW($B$16)),
"OCULTAR ESTA LINHA"
)</f>
        <v>OCULTAR ESTA LINHA</v>
      </c>
      <c r="C23" s="470" t="str">
        <f>INDEX('Mão de Obra'!$E$17:$X$17,1,ROW()-ROW($C$16))</f>
        <v>Posto G</v>
      </c>
      <c r="D23" s="471">
        <f>INDEX('Mão de Obra'!$E$26:$X$26,1,ROW()-ROW($D$16))</f>
        <v>0</v>
      </c>
      <c r="E23" s="472">
        <f>INDEX('Mão de Obra'!$E$27:$X$27,1,ROW()-ROW($E$16))</f>
        <v>0</v>
      </c>
      <c r="F23" s="472" t="str">
        <f>INDEX('Mão de Obra'!$E$29:$X$29,1,ROW()-ROW($F$16))</f>
        <v/>
      </c>
      <c r="G23" s="473" t="str">
        <f>INDEX('Mão de Obra'!$E$176:$X$176,1,ROW()-ROW($G$16))</f>
        <v/>
      </c>
      <c r="H23" s="473" t="str">
        <f>INDEX('Mão de Obra'!$E$177:$X$177,1,ROW()-ROW($I$16))</f>
        <v/>
      </c>
      <c r="I23" s="473" t="str">
        <f>INDEX('Mão de Obra'!$E$179:$X$179,1,ROW()-ROW($I$16))</f>
        <v/>
      </c>
      <c r="J23" s="473" t="str">
        <f>INDEX('Mão de Obra'!$E$185:$X$185,1,ROW()-ROW($I$16))</f>
        <v/>
      </c>
      <c r="K23" s="474" t="str">
        <f>INDEX('Mão de Obra'!$E$191:$X$191,1,ROW()-ROW($I$16))</f>
        <v/>
      </c>
    </row>
    <row r="24" spans="2:14" hidden="1">
      <c r="B24" s="469" t="str">
        <f>IF(
INDEX('Mão de Obra'!$E$18:$X$18,1,ROW()-ROW($B$16))&lt;&gt;0,
INDEX('Mão de Obra'!$E$18:$X$18,1,ROW()-ROW($B$16)),
"OCULTAR ESTA LINHA"
)</f>
        <v>OCULTAR ESTA LINHA</v>
      </c>
      <c r="C24" s="470" t="str">
        <f>INDEX('Mão de Obra'!$E$17:$X$17,1,ROW()-ROW($C$16))</f>
        <v>Posto H</v>
      </c>
      <c r="D24" s="471">
        <f>INDEX('Mão de Obra'!$E$26:$X$26,1,ROW()-ROW($D$16))</f>
        <v>0</v>
      </c>
      <c r="E24" s="472">
        <f>INDEX('Mão de Obra'!$E$27:$X$27,1,ROW()-ROW($E$16))</f>
        <v>0</v>
      </c>
      <c r="F24" s="472" t="str">
        <f>INDEX('Mão de Obra'!$E$29:$X$29,1,ROW()-ROW($F$16))</f>
        <v/>
      </c>
      <c r="G24" s="473" t="str">
        <f>INDEX('Mão de Obra'!$E$176:$X$176,1,ROW()-ROW($G$16))</f>
        <v/>
      </c>
      <c r="H24" s="473" t="str">
        <f>INDEX('Mão de Obra'!$E$177:$X$177,1,ROW()-ROW($I$16))</f>
        <v/>
      </c>
      <c r="I24" s="473" t="str">
        <f>INDEX('Mão de Obra'!$E$179:$X$179,1,ROW()-ROW($I$16))</f>
        <v/>
      </c>
      <c r="J24" s="473" t="str">
        <f>INDEX('Mão de Obra'!$E$185:$X$185,1,ROW()-ROW($I$16))</f>
        <v/>
      </c>
      <c r="K24" s="474" t="str">
        <f>INDEX('Mão de Obra'!$E$191:$X$191,1,ROW()-ROW($I$16))</f>
        <v/>
      </c>
    </row>
    <row r="25" spans="2:14" hidden="1">
      <c r="B25" s="469" t="str">
        <f>IF(
INDEX('Mão de Obra'!$E$18:$X$18,1,ROW()-ROW($B$16))&lt;&gt;0,
INDEX('Mão de Obra'!$E$18:$X$18,1,ROW()-ROW($B$16)),
"OCULTAR ESTA LINHA"
)</f>
        <v>OCULTAR ESTA LINHA</v>
      </c>
      <c r="C25" s="470" t="str">
        <f>INDEX('Mão de Obra'!$E$17:$X$17,1,ROW()-ROW($C$16))</f>
        <v>Posto I</v>
      </c>
      <c r="D25" s="471">
        <f>INDEX('Mão de Obra'!$E$26:$X$26,1,ROW()-ROW($D$16))</f>
        <v>0</v>
      </c>
      <c r="E25" s="472">
        <f>INDEX('Mão de Obra'!$E$27:$X$27,1,ROW()-ROW($E$16))</f>
        <v>0</v>
      </c>
      <c r="F25" s="472" t="str">
        <f>INDEX('Mão de Obra'!$E$29:$X$29,1,ROW()-ROW($F$16))</f>
        <v/>
      </c>
      <c r="G25" s="473" t="str">
        <f>INDEX('Mão de Obra'!$E$176:$X$176,1,ROW()-ROW($G$16))</f>
        <v/>
      </c>
      <c r="H25" s="473" t="str">
        <f>INDEX('Mão de Obra'!$E$177:$X$177,1,ROW()-ROW($I$16))</f>
        <v/>
      </c>
      <c r="I25" s="473" t="str">
        <f>INDEX('Mão de Obra'!$E$179:$X$179,1,ROW()-ROW($I$16))</f>
        <v/>
      </c>
      <c r="J25" s="473" t="str">
        <f>INDEX('Mão de Obra'!$E$185:$X$185,1,ROW()-ROW($I$16))</f>
        <v/>
      </c>
      <c r="K25" s="474" t="str">
        <f>INDEX('Mão de Obra'!$E$191:$X$191,1,ROW()-ROW($I$16))</f>
        <v/>
      </c>
    </row>
    <row r="26" spans="2:14" hidden="1">
      <c r="B26" s="469" t="str">
        <f>IF(
INDEX('Mão de Obra'!$E$18:$X$18,1,ROW()-ROW($B$16))&lt;&gt;0,
INDEX('Mão de Obra'!$E$18:$X$18,1,ROW()-ROW($B$16)),
"OCULTAR ESTA LINHA"
)</f>
        <v>OCULTAR ESTA LINHA</v>
      </c>
      <c r="C26" s="470" t="str">
        <f>INDEX('Mão de Obra'!$E$17:$X$17,1,ROW()-ROW($C$16))</f>
        <v>Posto J</v>
      </c>
      <c r="D26" s="471">
        <f>INDEX('Mão de Obra'!$E$26:$X$26,1,ROW()-ROW($D$16))</f>
        <v>0</v>
      </c>
      <c r="E26" s="472">
        <f>INDEX('Mão de Obra'!$E$27:$X$27,1,ROW()-ROW($E$16))</f>
        <v>0</v>
      </c>
      <c r="F26" s="472" t="str">
        <f>INDEX('Mão de Obra'!$E$29:$X$29,1,ROW()-ROW($F$16))</f>
        <v/>
      </c>
      <c r="G26" s="473" t="str">
        <f>INDEX('Mão de Obra'!$E$176:$X$176,1,ROW()-ROW($G$16))</f>
        <v/>
      </c>
      <c r="H26" s="473" t="str">
        <f>INDEX('Mão de Obra'!$E$177:$X$177,1,ROW()-ROW($I$16))</f>
        <v/>
      </c>
      <c r="I26" s="473" t="str">
        <f>INDEX('Mão de Obra'!$E$179:$X$179,1,ROW()-ROW($I$16))</f>
        <v/>
      </c>
      <c r="J26" s="473" t="str">
        <f>INDEX('Mão de Obra'!$E$185:$X$185,1,ROW()-ROW($I$16))</f>
        <v/>
      </c>
      <c r="K26" s="474" t="str">
        <f>INDEX('Mão de Obra'!$E$191:$X$191,1,ROW()-ROW($I$16))</f>
        <v/>
      </c>
    </row>
    <row r="27" spans="2:14">
      <c r="B27" s="462"/>
      <c r="C27" s="463"/>
      <c r="D27" s="463"/>
      <c r="E27" s="475">
        <f>SUM(E17:E26)</f>
        <v>1</v>
      </c>
      <c r="F27" s="475">
        <f>SUM(F17:F26)</f>
        <v>1</v>
      </c>
      <c r="G27" s="476"/>
      <c r="H27" s="476"/>
      <c r="I27" s="476"/>
      <c r="J27" s="476">
        <f>SUM(J17:J26)</f>
        <v>5988.64</v>
      </c>
      <c r="K27" s="761">
        <f>SUM(K17:K26)</f>
        <v>71863.679999999993</v>
      </c>
      <c r="M27" s="647"/>
    </row>
    <row r="28" spans="2:14" ht="6.75" customHeight="1">
      <c r="B28" s="477"/>
      <c r="C28" s="477"/>
      <c r="D28" s="477"/>
      <c r="E28" s="478"/>
      <c r="F28" s="478"/>
      <c r="G28" s="645"/>
      <c r="H28" s="645"/>
      <c r="I28" s="645"/>
      <c r="J28" s="645"/>
      <c r="K28" s="645"/>
    </row>
    <row r="29" spans="2:14" hidden="1">
      <c r="B29" s="462" t="s">
        <v>487</v>
      </c>
      <c r="C29" s="463"/>
      <c r="D29" s="463"/>
      <c r="E29" s="463"/>
      <c r="F29" s="463"/>
      <c r="G29" s="463"/>
      <c r="H29" s="463"/>
      <c r="I29" s="463"/>
      <c r="J29" s="463"/>
      <c r="K29" s="464"/>
    </row>
    <row r="30" spans="2:14" hidden="1">
      <c r="B30" s="465" t="s">
        <v>483</v>
      </c>
      <c r="C30" s="466"/>
      <c r="D30" s="466"/>
      <c r="E30" s="466"/>
      <c r="F30" s="466"/>
      <c r="G30" s="467"/>
      <c r="H30" s="467"/>
      <c r="I30" s="467"/>
      <c r="J30" s="467" t="s">
        <v>443</v>
      </c>
      <c r="K30" s="468" t="s">
        <v>396</v>
      </c>
    </row>
    <row r="31" spans="2:14" hidden="1">
      <c r="B31" s="646" t="s">
        <v>483</v>
      </c>
      <c r="C31" s="470"/>
      <c r="D31" s="472"/>
      <c r="E31" s="480"/>
      <c r="F31" s="481"/>
      <c r="G31" s="473"/>
      <c r="H31" s="473"/>
      <c r="I31" s="473"/>
      <c r="J31" s="775">
        <f>IFERROR(IF(OR('Mão de Obra'!$D$152="Não",'Mão de Obra'!$D$152=""),
'Mat Coletivo e Equipamentos'!J4,""),0)</f>
        <v>102.78999999999999</v>
      </c>
      <c r="K31" s="776">
        <f>IFERROR(J31*J6,0)</f>
        <v>1233.48</v>
      </c>
      <c r="M31" s="647"/>
    </row>
    <row r="32" spans="2:14" hidden="1">
      <c r="B32" s="462"/>
      <c r="C32" s="463"/>
      <c r="D32" s="463"/>
      <c r="E32" s="463"/>
      <c r="F32" s="475"/>
      <c r="G32" s="483"/>
      <c r="H32" s="483"/>
      <c r="I32" s="483"/>
      <c r="J32" s="777">
        <f>SUM(J31)</f>
        <v>102.78999999999999</v>
      </c>
      <c r="K32" s="778">
        <f>SUM(K31)</f>
        <v>1233.48</v>
      </c>
    </row>
    <row r="33" spans="2:14" ht="6.75" customHeight="1">
      <c r="B33" s="477"/>
      <c r="C33" s="477"/>
      <c r="D33" s="477"/>
      <c r="E33" s="477"/>
      <c r="F33" s="478"/>
      <c r="G33" s="479"/>
      <c r="H33" s="479"/>
      <c r="I33" s="479"/>
      <c r="J33" s="479"/>
      <c r="K33" s="479"/>
    </row>
    <row r="34" spans="2:14">
      <c r="B34" s="462" t="s">
        <v>419</v>
      </c>
      <c r="C34" s="463"/>
      <c r="D34" s="463"/>
      <c r="E34" s="463"/>
      <c r="F34" s="463"/>
      <c r="G34" s="463"/>
      <c r="H34" s="463"/>
      <c r="I34" s="463"/>
      <c r="J34" s="463"/>
      <c r="K34" s="464"/>
    </row>
    <row r="35" spans="2:14" ht="15" customHeight="1">
      <c r="B35" s="465" t="s">
        <v>413</v>
      </c>
      <c r="C35" s="466"/>
      <c r="D35" s="466" t="s">
        <v>415</v>
      </c>
      <c r="E35" s="466" t="s">
        <v>451</v>
      </c>
      <c r="F35" s="466" t="s">
        <v>414</v>
      </c>
      <c r="G35" s="467" t="s">
        <v>429</v>
      </c>
      <c r="H35" s="467" t="s">
        <v>447</v>
      </c>
      <c r="I35" s="467" t="s">
        <v>431</v>
      </c>
      <c r="J35" s="467" t="s">
        <v>443</v>
      </c>
      <c r="K35" s="468" t="s">
        <v>396</v>
      </c>
    </row>
    <row r="36" spans="2:14" ht="30">
      <c r="B36" s="469" t="str">
        <f>IF(
INDEX(Veículos!$E$3:$AR$3,1,ROW()-ROW(B$35))&lt;&gt;"",
INDEX(Veículos!$E$3:$AR$3,1,ROW()-ROW(B$35)),
"OCULTAR ESTA LINHA")</f>
        <v>Veículo tipo Van mín. 14 passageiros</v>
      </c>
      <c r="C36" s="470"/>
      <c r="D36" s="472">
        <f>INDEX(Veículos!$E$4:$CS$4,1,ROW()-ROW(D$35))</f>
        <v>1</v>
      </c>
      <c r="E36" s="480">
        <f>INDEX(Veículos!$E$88:$CS$88,1,ROW()-ROW(E$35))</f>
        <v>200</v>
      </c>
      <c r="F36" s="481">
        <f>INDEX(Veículos!$E$5:$AR$5,1,ROW()-ROW(F$35))</f>
        <v>2500</v>
      </c>
      <c r="G36" s="473">
        <f>INDEX(Veículos!$E$89:$CS$89,1,ROW()-ROW(G$35))</f>
        <v>24.831750000000003</v>
      </c>
      <c r="H36" s="473">
        <f>INDEX(Veículos!$E$86:$CS$86,1,ROW()-ROW(H$35))</f>
        <v>1.5944719999999999</v>
      </c>
      <c r="I36" s="473">
        <f>INDEX(Veículos!$E$94:$CS$94,1,ROW()-ROW(I$35))</f>
        <v>8952.5400000000009</v>
      </c>
      <c r="J36" s="482">
        <f>INDEX(Veículos!$E$99:$CS$99,1,ROW()-ROW(J$35))</f>
        <v>8952.5400000000009</v>
      </c>
      <c r="K36" s="474">
        <f>INDEX(Veículos!$E$100:$CS$100,1,ROW()-ROW(K$35))</f>
        <v>107430.48</v>
      </c>
    </row>
    <row r="37" spans="2:14" hidden="1">
      <c r="B37" s="469" t="str">
        <f>IF(
INDEX(Veículos!$E$3:$AR$3,1,ROW()-ROW(B$35))&lt;&gt;"",
INDEX(Veículos!$E$3:$AR$3,1,ROW()-ROW(B$35)),
"OCULTAR ESTA LINHA")</f>
        <v>OCULTAR ESTA LINHA</v>
      </c>
      <c r="C37" s="470"/>
      <c r="D37" s="472">
        <f>INDEX(Veículos!$E$4:$CS$4,1,ROW()-ROW(D$35))</f>
        <v>0</v>
      </c>
      <c r="E37" s="480" t="str">
        <f>INDEX(Veículos!$E$88:$CS$88,1,ROW()-ROW(E$35))</f>
        <v/>
      </c>
      <c r="F37" s="481">
        <f>INDEX(Veículos!$E$5:$AR$5,1,ROW()-ROW(F$35))</f>
        <v>0</v>
      </c>
      <c r="G37" s="473" t="str">
        <f>INDEX(Veículos!$E$89:$CS$89,1,ROW()-ROW(G$35))</f>
        <v/>
      </c>
      <c r="H37" s="473" t="str">
        <f>INDEX(Veículos!$E$86:$CS$86,1,ROW()-ROW(H$35))</f>
        <v/>
      </c>
      <c r="I37" s="473" t="str">
        <f>INDEX(Veículos!$E$94:$CS$94,1,ROW()-ROW(I$35))</f>
        <v/>
      </c>
      <c r="J37" s="482" t="str">
        <f>INDEX(Veículos!$E$99:$CS$99,1,ROW()-ROW(J$35))</f>
        <v/>
      </c>
      <c r="K37" s="474" t="str">
        <f>INDEX(Veículos!$E$100:$CS$100,1,ROW()-ROW(K$35))</f>
        <v/>
      </c>
    </row>
    <row r="38" spans="2:14" hidden="1">
      <c r="B38" s="469" t="str">
        <f>IF(
INDEX(Veículos!$E$3:$AR$3,1,ROW()-ROW(B$35))&lt;&gt;"",
INDEX(Veículos!$E$3:$AR$3,1,ROW()-ROW(B$35)),
"OCULTAR ESTA LINHA")</f>
        <v>OCULTAR ESTA LINHA</v>
      </c>
      <c r="C38" s="470"/>
      <c r="D38" s="472">
        <f>INDEX(Veículos!$E$4:$CS$4,1,ROW()-ROW(D$35))</f>
        <v>0</v>
      </c>
      <c r="E38" s="480" t="str">
        <f>INDEX(Veículos!$E$88:$CS$88,1,ROW()-ROW(E$35))</f>
        <v/>
      </c>
      <c r="F38" s="481">
        <f>INDEX(Veículos!$E$5:$AR$5,1,ROW()-ROW(F$35))</f>
        <v>0</v>
      </c>
      <c r="G38" s="473" t="str">
        <f>INDEX(Veículos!$E$89:$CS$89,1,ROW()-ROW(G$35))</f>
        <v/>
      </c>
      <c r="H38" s="473" t="str">
        <f>INDEX(Veículos!$E$86:$CS$86,1,ROW()-ROW(H$35))</f>
        <v/>
      </c>
      <c r="I38" s="473" t="str">
        <f>INDEX(Veículos!$E$94:$CS$94,1,ROW()-ROW(I$35))</f>
        <v/>
      </c>
      <c r="J38" s="482" t="str">
        <f>INDEX(Veículos!$E$99:$CS$99,1,ROW()-ROW(J$35))</f>
        <v/>
      </c>
      <c r="K38" s="474" t="str">
        <f>INDEX(Veículos!$E$100:$CS$100,1,ROW()-ROW(K$35))</f>
        <v/>
      </c>
    </row>
    <row r="39" spans="2:14" hidden="1">
      <c r="B39" s="469" t="str">
        <f>IF(
INDEX(Veículos!$E$3:$AR$3,1,ROW()-ROW(B$35))&lt;&gt;"",
INDEX(Veículos!$E$3:$AR$3,1,ROW()-ROW(B$35)),
"OCULTAR ESTA LINHA")</f>
        <v>OCULTAR ESTA LINHA</v>
      </c>
      <c r="C39" s="470"/>
      <c r="D39" s="472">
        <f>INDEX(Veículos!$E$4:$CS$4,1,ROW()-ROW(D$35))</f>
        <v>0</v>
      </c>
      <c r="E39" s="480" t="str">
        <f>INDEX(Veículos!$E$88:$CS$88,1,ROW()-ROW(E$35))</f>
        <v/>
      </c>
      <c r="F39" s="481">
        <f>INDEX(Veículos!$E$5:$AR$5,1,ROW()-ROW(F$35))</f>
        <v>0</v>
      </c>
      <c r="G39" s="473" t="str">
        <f>INDEX(Veículos!$E$89:$CS$89,1,ROW()-ROW(G$35))</f>
        <v/>
      </c>
      <c r="H39" s="473" t="str">
        <f>INDEX(Veículos!$E$86:$CS$86,1,ROW()-ROW(H$35))</f>
        <v/>
      </c>
      <c r="I39" s="473" t="str">
        <f>INDEX(Veículos!$E$94:$CS$94,1,ROW()-ROW(I$35))</f>
        <v/>
      </c>
      <c r="J39" s="482" t="str">
        <f>INDEX(Veículos!$E$99:$CS$99,1,ROW()-ROW(J$35))</f>
        <v/>
      </c>
      <c r="K39" s="474" t="str">
        <f>INDEX(Veículos!$E$100:$CS$100,1,ROW()-ROW(K$35))</f>
        <v/>
      </c>
    </row>
    <row r="40" spans="2:14" hidden="1">
      <c r="B40" s="469" t="str">
        <f>IF(
INDEX(Veículos!$E$3:$AR$3,1,ROW()-ROW(B$35))&lt;&gt;"",
INDEX(Veículos!$E$3:$AR$3,1,ROW()-ROW(B$35)),
"OCULTAR ESTA LINHA")</f>
        <v>OCULTAR ESTA LINHA</v>
      </c>
      <c r="C40" s="470"/>
      <c r="D40" s="472">
        <f>INDEX(Veículos!$E$4:$CS$4,1,ROW()-ROW(D$35))</f>
        <v>0</v>
      </c>
      <c r="E40" s="480" t="str">
        <f>INDEX(Veículos!$E$88:$CS$88,1,ROW()-ROW(E$35))</f>
        <v/>
      </c>
      <c r="F40" s="481">
        <f>INDEX(Veículos!$E$5:$AR$5,1,ROW()-ROW(F$35))</f>
        <v>0</v>
      </c>
      <c r="G40" s="473" t="str">
        <f>INDEX(Veículos!$E$89:$CS$89,1,ROW()-ROW(G$35))</f>
        <v/>
      </c>
      <c r="H40" s="473" t="str">
        <f>INDEX(Veículos!$E$86:$CS$86,1,ROW()-ROW(H$35))</f>
        <v/>
      </c>
      <c r="I40" s="473" t="str">
        <f>INDEX(Veículos!$E$94:$CS$94,1,ROW()-ROW(I$35))</f>
        <v/>
      </c>
      <c r="J40" s="482" t="str">
        <f>INDEX(Veículos!$E$99:$CS$99,1,ROW()-ROW(J$35))</f>
        <v/>
      </c>
      <c r="K40" s="474" t="str">
        <f>INDEX(Veículos!$E$100:$CS$100,1,ROW()-ROW(K$35))</f>
        <v/>
      </c>
    </row>
    <row r="41" spans="2:14">
      <c r="B41" s="462"/>
      <c r="C41" s="463"/>
      <c r="D41" s="463"/>
      <c r="E41" s="463"/>
      <c r="F41" s="475"/>
      <c r="G41" s="483"/>
      <c r="H41" s="483"/>
      <c r="I41" s="483"/>
      <c r="J41" s="483">
        <f>SUM(J36:J40)</f>
        <v>8952.5400000000009</v>
      </c>
      <c r="K41" s="484">
        <f>SUM(K36:K40)</f>
        <v>107430.48</v>
      </c>
    </row>
    <row r="42" spans="2:14" ht="6.75" customHeight="1">
      <c r="B42" s="477"/>
      <c r="C42" s="477"/>
      <c r="D42" s="477"/>
      <c r="E42" s="477"/>
      <c r="F42" s="478"/>
      <c r="G42" s="478"/>
      <c r="H42" s="479"/>
      <c r="I42" s="479"/>
      <c r="J42" s="479"/>
      <c r="K42" s="479"/>
    </row>
    <row r="43" spans="2:14" hidden="1">
      <c r="B43" s="462" t="s">
        <v>418</v>
      </c>
      <c r="C43" s="463"/>
      <c r="D43" s="463"/>
      <c r="E43" s="463"/>
      <c r="F43" s="463"/>
      <c r="G43" s="463"/>
      <c r="H43" s="463"/>
      <c r="I43" s="463"/>
      <c r="J43" s="463"/>
      <c r="K43" s="464"/>
    </row>
    <row r="44" spans="2:14" hidden="1">
      <c r="B44" s="465" t="s">
        <v>409</v>
      </c>
      <c r="C44" s="466"/>
      <c r="D44" s="466"/>
      <c r="E44" s="466"/>
      <c r="F44" s="467" t="s">
        <v>40</v>
      </c>
      <c r="G44" s="467" t="s">
        <v>410</v>
      </c>
      <c r="H44" s="467" t="s">
        <v>411</v>
      </c>
      <c r="I44" s="467" t="s">
        <v>412</v>
      </c>
      <c r="J44" s="467" t="s">
        <v>322</v>
      </c>
      <c r="K44" s="468" t="s">
        <v>345</v>
      </c>
    </row>
    <row r="45" spans="2:14" hidden="1">
      <c r="B45" s="469" t="str">
        <f>IF(
'Apoio - Dados'!J2&lt;&gt;"",
'Apoio - Dados'!J2,
"OCULTAR ESTA LINHA")</f>
        <v>OCULTAR ESTA LINHA</v>
      </c>
      <c r="C45" s="470"/>
      <c r="D45" s="471"/>
      <c r="E45" s="471"/>
      <c r="F45" s="472" t="str">
        <f>IFERROR(INDEX(Produtividade!B:B,MATCH($B45,Produtividade!C:C,0)),"")</f>
        <v/>
      </c>
      <c r="G45" s="473" t="str">
        <f>IFERROR(INDEX('Apoio - Dados'!F:F,MATCH($B45,'Apoio - Dados'!E:E,0)),"")</f>
        <v/>
      </c>
      <c r="H45" s="485" t="str">
        <f>IFERROR(INDEX(Produtividade!L:L,MATCH($B45,Produtividade!C:C,0)),"")</f>
        <v/>
      </c>
      <c r="I45" s="473" t="str">
        <f>IFERROR(INDEX(Produtividade!M:M,MATCH($B45,Produtividade!C:C,0)),"")</f>
        <v/>
      </c>
      <c r="J45" s="482" t="str">
        <f>IFERROR(INDEX(Produtividade!N:N,MATCH($B45,Produtividade!C:C,0)),"")</f>
        <v/>
      </c>
      <c r="K45" s="474" t="str">
        <f>IFERROR(INDEX(Produtividade!O:O,MATCH($B45,Produtividade!C:C,0)),"")</f>
        <v/>
      </c>
      <c r="N45" s="488"/>
    </row>
    <row r="46" spans="2:14" hidden="1">
      <c r="B46" s="469" t="str">
        <f>IF(
'Apoio - Dados'!J3&lt;&gt;"",
'Apoio - Dados'!J3,
"OCULTAR ESTA LINHA")</f>
        <v>OCULTAR ESTA LINHA</v>
      </c>
      <c r="C46" s="470"/>
      <c r="D46" s="471"/>
      <c r="E46" s="471"/>
      <c r="F46" s="472" t="str">
        <f>IFERROR(INDEX(Produtividade!B:B,MATCH($B46,Produtividade!C:C,0)),"")</f>
        <v/>
      </c>
      <c r="G46" s="473" t="str">
        <f>IFERROR(INDEX('Apoio - Dados'!F:F,MATCH($B46,'Apoio - Dados'!E:E,0)),"")</f>
        <v/>
      </c>
      <c r="H46" s="485" t="str">
        <f>IFERROR(INDEX(Produtividade!L:L,MATCH($B46,Produtividade!C:C,0)),"")</f>
        <v/>
      </c>
      <c r="I46" s="473" t="str">
        <f>IFERROR(INDEX(Produtividade!M:M,MATCH($B46,Produtividade!C:C,0)),"")</f>
        <v/>
      </c>
      <c r="J46" s="482" t="str">
        <f>IFERROR(INDEX(Produtividade!N:N,MATCH($B46,Produtividade!C:C,0)),"")</f>
        <v/>
      </c>
      <c r="K46" s="474" t="str">
        <f>IFERROR(INDEX(Produtividade!O:O,MATCH($B46,Produtividade!C:C,0)),"")</f>
        <v/>
      </c>
      <c r="N46" s="488"/>
    </row>
    <row r="47" spans="2:14" hidden="1">
      <c r="B47" s="469" t="str">
        <f>IF(
'Apoio - Dados'!J4&lt;&gt;"",
'Apoio - Dados'!J4,
"OCULTAR ESTA LINHA")</f>
        <v>OCULTAR ESTA LINHA</v>
      </c>
      <c r="C47" s="470"/>
      <c r="D47" s="471"/>
      <c r="E47" s="471"/>
      <c r="F47" s="472" t="str">
        <f>IFERROR(INDEX(Produtividade!B:B,MATCH($B47,Produtividade!C:C,0)),"")</f>
        <v/>
      </c>
      <c r="G47" s="473" t="str">
        <f>IFERROR(INDEX('Apoio - Dados'!F:F,MATCH($B47,'Apoio - Dados'!E:E,0)),"")</f>
        <v/>
      </c>
      <c r="H47" s="485" t="str">
        <f>IFERROR(INDEX(Produtividade!L:L,MATCH($B47,Produtividade!C:C,0)),"")</f>
        <v/>
      </c>
      <c r="I47" s="473" t="str">
        <f>IFERROR(INDEX(Produtividade!M:M,MATCH($B47,Produtividade!C:C,0)),"")</f>
        <v/>
      </c>
      <c r="J47" s="482" t="str">
        <f>IFERROR(INDEX(Produtividade!N:N,MATCH($B47,Produtividade!C:C,0)),"")</f>
        <v/>
      </c>
      <c r="K47" s="474" t="str">
        <f>IFERROR(INDEX(Produtividade!O:O,MATCH($B47,Produtividade!C:C,0)),"")</f>
        <v/>
      </c>
      <c r="N47" s="488"/>
    </row>
    <row r="48" spans="2:14" hidden="1">
      <c r="B48" s="469" t="str">
        <f>IF(
'Apoio - Dados'!J5&lt;&gt;"",
'Apoio - Dados'!J5,
"OCULTAR ESTA LINHA")</f>
        <v>OCULTAR ESTA LINHA</v>
      </c>
      <c r="C48" s="470"/>
      <c r="D48" s="471"/>
      <c r="E48" s="471"/>
      <c r="F48" s="472" t="str">
        <f>IFERROR(INDEX(Produtividade!B:B,MATCH($B48,Produtividade!C:C,0)),"")</f>
        <v/>
      </c>
      <c r="G48" s="473" t="str">
        <f>IFERROR(INDEX('Apoio - Dados'!F:F,MATCH($B48,'Apoio - Dados'!E:E,0)),"")</f>
        <v/>
      </c>
      <c r="H48" s="485" t="str">
        <f>IFERROR(INDEX(Produtividade!L:L,MATCH($B48,Produtividade!C:C,0)),"")</f>
        <v/>
      </c>
      <c r="I48" s="473" t="str">
        <f>IFERROR(INDEX(Produtividade!M:M,MATCH($B48,Produtividade!C:C,0)),"")</f>
        <v/>
      </c>
      <c r="J48" s="482" t="str">
        <f>IFERROR(INDEX(Produtividade!N:N,MATCH($B48,Produtividade!C:C,0)),"")</f>
        <v/>
      </c>
      <c r="K48" s="474" t="str">
        <f>IFERROR(INDEX(Produtividade!O:O,MATCH($B48,Produtividade!C:C,0)),"")</f>
        <v/>
      </c>
      <c r="N48" s="488"/>
    </row>
    <row r="49" spans="2:16" hidden="1">
      <c r="B49" s="469" t="str">
        <f>IF(
'Apoio - Dados'!J6&lt;&gt;"",
'Apoio - Dados'!J6,
"OCULTAR ESTA LINHA")</f>
        <v>OCULTAR ESTA LINHA</v>
      </c>
      <c r="C49" s="470"/>
      <c r="D49" s="471"/>
      <c r="E49" s="471"/>
      <c r="F49" s="472" t="str">
        <f>IFERROR(INDEX(Produtividade!B:B,MATCH($B49,Produtividade!C:C,0)),"")</f>
        <v/>
      </c>
      <c r="G49" s="473" t="str">
        <f>IFERROR(INDEX('Apoio - Dados'!F:F,MATCH($B49,'Apoio - Dados'!E:E,0)),"")</f>
        <v/>
      </c>
      <c r="H49" s="485" t="str">
        <f>IFERROR(INDEX(Produtividade!L:L,MATCH($B49,Produtividade!C:C,0)),"")</f>
        <v/>
      </c>
      <c r="I49" s="473" t="str">
        <f>IFERROR(INDEX(Produtividade!M:M,MATCH($B49,Produtividade!C:C,0)),"")</f>
        <v/>
      </c>
      <c r="J49" s="482" t="str">
        <f>IFERROR(INDEX(Produtividade!N:N,MATCH($B49,Produtividade!C:C,0)),"")</f>
        <v/>
      </c>
      <c r="K49" s="474" t="str">
        <f>IFERROR(INDEX(Produtividade!O:O,MATCH($B49,Produtividade!C:C,0)),"")</f>
        <v/>
      </c>
      <c r="N49" s="488"/>
    </row>
    <row r="50" spans="2:16" hidden="1">
      <c r="B50" s="469" t="str">
        <f>IF(
'Apoio - Dados'!J7&lt;&gt;"",
'Apoio - Dados'!J7,
"OCULTAR ESTA LINHA")</f>
        <v>OCULTAR ESTA LINHA</v>
      </c>
      <c r="C50" s="470"/>
      <c r="D50" s="471"/>
      <c r="E50" s="471"/>
      <c r="F50" s="472" t="str">
        <f>IFERROR(INDEX(Produtividade!B:B,MATCH($B50,Produtividade!C:C,0)),"")</f>
        <v/>
      </c>
      <c r="G50" s="473" t="str">
        <f>IFERROR(INDEX('Apoio - Dados'!F:F,MATCH($B50,'Apoio - Dados'!E:E,0)),"")</f>
        <v/>
      </c>
      <c r="H50" s="485" t="str">
        <f>IFERROR(INDEX(Produtividade!L:L,MATCH($B50,Produtividade!C:C,0)),"")</f>
        <v/>
      </c>
      <c r="I50" s="473" t="str">
        <f>IFERROR(INDEX(Produtividade!M:M,MATCH($B50,Produtividade!C:C,0)),"")</f>
        <v/>
      </c>
      <c r="J50" s="482" t="str">
        <f>IFERROR(INDEX(Produtividade!N:N,MATCH($B50,Produtividade!C:C,0)),"")</f>
        <v/>
      </c>
      <c r="K50" s="474" t="str">
        <f>IFERROR(INDEX(Produtividade!O:O,MATCH($B50,Produtividade!C:C,0)),"")</f>
        <v/>
      </c>
      <c r="N50" s="488"/>
    </row>
    <row r="51" spans="2:16" hidden="1">
      <c r="B51" s="469" t="str">
        <f>IF(
'Apoio - Dados'!J8&lt;&gt;"",
'Apoio - Dados'!J8,
"OCULTAR ESTA LINHA")</f>
        <v>OCULTAR ESTA LINHA</v>
      </c>
      <c r="C51" s="470"/>
      <c r="D51" s="471"/>
      <c r="E51" s="471"/>
      <c r="F51" s="472" t="str">
        <f>IFERROR(INDEX(Produtividade!B:B,MATCH($B51,Produtividade!C:C,0)),"")</f>
        <v/>
      </c>
      <c r="G51" s="473" t="str">
        <f>IFERROR(INDEX('Apoio - Dados'!F:F,MATCH($B51,'Apoio - Dados'!E:E,0)),"")</f>
        <v/>
      </c>
      <c r="H51" s="485" t="str">
        <f>IFERROR(INDEX(Produtividade!L:L,MATCH($B51,Produtividade!C:C,0)),"")</f>
        <v/>
      </c>
      <c r="I51" s="473" t="str">
        <f>IFERROR(INDEX(Produtividade!M:M,MATCH($B51,Produtividade!C:C,0)),"")</f>
        <v/>
      </c>
      <c r="J51" s="482" t="str">
        <f>IFERROR(INDEX(Produtividade!N:N,MATCH($B51,Produtividade!C:C,0)),"")</f>
        <v/>
      </c>
      <c r="K51" s="474" t="str">
        <f>IFERROR(INDEX(Produtividade!O:O,MATCH($B51,Produtividade!C:C,0)),"")</f>
        <v/>
      </c>
      <c r="N51" s="488"/>
    </row>
    <row r="52" spans="2:16" hidden="1">
      <c r="B52" s="469" t="str">
        <f>IF(
'Apoio - Dados'!J9&lt;&gt;"",
'Apoio - Dados'!J9,
"OCULTAR ESTA LINHA")</f>
        <v>OCULTAR ESTA LINHA</v>
      </c>
      <c r="C52" s="470"/>
      <c r="D52" s="471"/>
      <c r="E52" s="471"/>
      <c r="F52" s="472" t="str">
        <f>IFERROR(INDEX(Produtividade!B:B,MATCH($B52,Produtividade!C:C,0)),"")</f>
        <v/>
      </c>
      <c r="G52" s="473" t="str">
        <f>IFERROR(INDEX('Apoio - Dados'!F:F,MATCH($B52,'Apoio - Dados'!E:E,0)),"")</f>
        <v/>
      </c>
      <c r="H52" s="485" t="str">
        <f>IFERROR(INDEX(Produtividade!L:L,MATCH($B52,Produtividade!C:C,0)),"")</f>
        <v/>
      </c>
      <c r="I52" s="473" t="str">
        <f>IFERROR(INDEX(Produtividade!M:M,MATCH($B52,Produtividade!C:C,0)),"")</f>
        <v/>
      </c>
      <c r="J52" s="482" t="str">
        <f>IFERROR(INDEX(Produtividade!N:N,MATCH($B52,Produtividade!C:C,0)),"")</f>
        <v/>
      </c>
      <c r="K52" s="474" t="str">
        <f>IFERROR(INDEX(Produtividade!O:O,MATCH($B52,Produtividade!C:C,0)),"")</f>
        <v/>
      </c>
      <c r="N52" s="488"/>
    </row>
    <row r="53" spans="2:16" hidden="1">
      <c r="B53" s="469" t="str">
        <f>IF(
'Apoio - Dados'!J10&lt;&gt;"",
'Apoio - Dados'!J10,
"OCULTAR ESTA LINHA")</f>
        <v>OCULTAR ESTA LINHA</v>
      </c>
      <c r="C53" s="470"/>
      <c r="D53" s="471"/>
      <c r="E53" s="471"/>
      <c r="F53" s="472" t="str">
        <f>IFERROR(INDEX(Produtividade!B:B,MATCH($B53,Produtividade!C:C,0)),"")</f>
        <v/>
      </c>
      <c r="G53" s="473" t="str">
        <f>IFERROR(INDEX('Apoio - Dados'!F:F,MATCH($B53,'Apoio - Dados'!E:E,0)),"")</f>
        <v/>
      </c>
      <c r="H53" s="485" t="str">
        <f>IFERROR(INDEX(Produtividade!L:L,MATCH($B53,Produtividade!C:C,0)),"")</f>
        <v/>
      </c>
      <c r="I53" s="473" t="str">
        <f>IFERROR(INDEX(Produtividade!M:M,MATCH($B53,Produtividade!C:C,0)),"")</f>
        <v/>
      </c>
      <c r="J53" s="482" t="str">
        <f>IFERROR(INDEX(Produtividade!N:N,MATCH($B53,Produtividade!C:C,0)),"")</f>
        <v/>
      </c>
      <c r="K53" s="474" t="str">
        <f>IFERROR(INDEX(Produtividade!O:O,MATCH($B53,Produtividade!C:C,0)),"")</f>
        <v/>
      </c>
      <c r="N53" s="488"/>
    </row>
    <row r="54" spans="2:16" hidden="1">
      <c r="B54" s="462"/>
      <c r="C54" s="463"/>
      <c r="D54" s="463"/>
      <c r="E54" s="463"/>
      <c r="F54" s="475"/>
      <c r="G54" s="483"/>
      <c r="H54" s="486">
        <f>SUM(H45:H53)</f>
        <v>0</v>
      </c>
      <c r="I54" s="483"/>
      <c r="J54" s="483">
        <f>SUM(J45:J53)</f>
        <v>0</v>
      </c>
      <c r="K54" s="484">
        <f>SUM(K45:K53)</f>
        <v>0</v>
      </c>
      <c r="N54" s="488"/>
    </row>
    <row r="55" spans="2:16" ht="6.75" customHeight="1">
      <c r="B55" s="42"/>
      <c r="C55" s="42"/>
      <c r="D55" s="42"/>
      <c r="E55" s="42"/>
      <c r="F55" s="42"/>
      <c r="G55" s="42"/>
      <c r="H55" s="42"/>
      <c r="I55" s="42"/>
      <c r="J55" s="42"/>
      <c r="K55" s="42"/>
    </row>
    <row r="56" spans="2:16">
      <c r="B56" s="27" t="s">
        <v>416</v>
      </c>
      <c r="C56" s="28"/>
      <c r="D56" s="28"/>
      <c r="E56" s="28"/>
      <c r="F56" s="28"/>
      <c r="G56" s="28"/>
      <c r="H56" s="28"/>
      <c r="I56" s="31"/>
      <c r="J56" s="31"/>
      <c r="K56" s="32"/>
    </row>
    <row r="57" spans="2:16">
      <c r="B57" s="374" t="s">
        <v>253</v>
      </c>
      <c r="C57" s="375"/>
      <c r="D57" s="375"/>
      <c r="E57" s="375"/>
      <c r="F57" s="375"/>
      <c r="G57" s="375"/>
      <c r="H57" s="375"/>
      <c r="I57" s="375"/>
      <c r="J57" s="376" t="s">
        <v>322</v>
      </c>
      <c r="K57" s="377" t="s">
        <v>345</v>
      </c>
    </row>
    <row r="58" spans="2:16">
      <c r="B58" s="51" t="s">
        <v>233</v>
      </c>
      <c r="C58" s="3"/>
      <c r="D58" s="3"/>
      <c r="E58" s="3"/>
      <c r="F58" s="3"/>
      <c r="G58" s="3"/>
      <c r="H58" s="3"/>
      <c r="I58" s="370"/>
      <c r="J58" s="764">
        <f>SUM(
IFERROR(SUM(Produtividade!$E182:$II182),0),
IFERROR(SUM('Mão de Obra'!$E$182:$II$182),0)
)</f>
        <v>4736.47</v>
      </c>
      <c r="K58" s="765">
        <f>J58*$J$6</f>
        <v>56837.64</v>
      </c>
      <c r="L58" s="488"/>
      <c r="M58" s="647"/>
    </row>
    <row r="59" spans="2:16">
      <c r="B59" s="51" t="s">
        <v>275</v>
      </c>
      <c r="I59" s="371"/>
      <c r="J59" s="766">
        <f>SUM(
IFERROR(SUMPRODUCT(Produtividade!E151:II151,Produtividade!$E$29:$II$29),0),
IFERROR(SUMPRODUCT('Mão de Obra'!E151:II151,'Mão de Obra'!$E$29:$II$29),0)
)</f>
        <v>0</v>
      </c>
      <c r="K59" s="765">
        <f>J59*$J$6</f>
        <v>0</v>
      </c>
      <c r="L59" s="488"/>
      <c r="M59" s="647"/>
    </row>
    <row r="60" spans="2:16">
      <c r="B60" s="51" t="s">
        <v>274</v>
      </c>
      <c r="I60" s="371"/>
      <c r="J60" s="766">
        <f>IF(OR('Mão de Obra'!$D$152="Não",'Mão de Obra'!$D$152=""),'Mat Coletivo e Equipamentos'!I4,0)
+
SUM(
IFERROR(SUMPRODUCT('Mão de Obra'!E152:II152,'Mão de Obra'!$E$29:$II$29),0),
IFERROR(SUMPRODUCT(Produtividade!E152:II152,Produtividade!$E$29:$II$29),0))</f>
        <v>85.6</v>
      </c>
      <c r="K60" s="765">
        <f>J60*$J$6</f>
        <v>1027.1999999999998</v>
      </c>
      <c r="L60" s="488"/>
      <c r="M60" s="647"/>
    </row>
    <row r="61" spans="2:16">
      <c r="B61" s="51" t="s">
        <v>424</v>
      </c>
      <c r="I61" s="371"/>
      <c r="J61" s="29">
        <f>IFERROR(SUM(Veículos!E97:II97),0)</f>
        <v>7080.64</v>
      </c>
      <c r="K61" s="765">
        <f>IFERROR(J61*$J$6,0)</f>
        <v>84967.680000000008</v>
      </c>
      <c r="L61" s="488"/>
      <c r="M61" s="647"/>
    </row>
    <row r="62" spans="2:16">
      <c r="B62" s="706" t="s">
        <v>252</v>
      </c>
      <c r="C62" s="3"/>
      <c r="D62" s="3"/>
      <c r="E62" s="3"/>
      <c r="F62" s="3"/>
      <c r="G62" s="3"/>
      <c r="H62" s="3"/>
      <c r="I62" s="707"/>
      <c r="J62" s="40">
        <f>IFERROR(SUM(J58:J61),0)</f>
        <v>11902.710000000001</v>
      </c>
      <c r="K62" s="767">
        <f>IFERROR(J62*$J$6,0)</f>
        <v>142832.52000000002</v>
      </c>
      <c r="L62" s="488"/>
      <c r="M62" s="647"/>
    </row>
    <row r="63" spans="2:16">
      <c r="B63" s="708" t="s">
        <v>174</v>
      </c>
      <c r="C63" s="709"/>
      <c r="D63" s="709"/>
      <c r="E63" s="709"/>
      <c r="F63" s="709"/>
      <c r="G63" s="709"/>
      <c r="H63" s="709"/>
      <c r="I63" s="710"/>
      <c r="J63" s="768"/>
      <c r="K63" s="769"/>
      <c r="L63" s="488"/>
      <c r="M63" s="647"/>
    </row>
    <row r="64" spans="2:16">
      <c r="B64" s="51" t="s">
        <v>255</v>
      </c>
      <c r="C64" s="255"/>
      <c r="F64" s="29"/>
      <c r="I64" s="372"/>
      <c r="J64" s="770">
        <f>IFERROR(
SUM(
IFERROR(SUMPRODUCT('Mão de Obra'!E158:II158,'Mão de Obra'!$E$29:$II$29),0),
IFERROR(SUMPRODUCT(Produtividade!E158:II158,Produtividade!$E$29:$II$29),0),
IFERROR(SUMPRODUCT(Veículos!E68:II68,Veículos!$E$4:$II$4),0)
)
*
(1+IF(OR('Mão de Obra'!$D$152="Não",'Mão de Obra'!$D$152=""),'Mat Coletivo e Equipamentos'!I4,0)/SUM(J62,-'Mat Coletivo e Equipamentos'!I4)),0)</f>
        <v>595.12996015946362</v>
      </c>
      <c r="K64" s="765">
        <f>J64*$J$6</f>
        <v>7141.559521913563</v>
      </c>
      <c r="L64" s="488"/>
      <c r="M64" s="647"/>
      <c r="N64" s="648"/>
      <c r="P64" s="488"/>
    </row>
    <row r="65" spans="2:14">
      <c r="B65" s="51" t="s">
        <v>228</v>
      </c>
      <c r="C65" s="255"/>
      <c r="F65" s="29"/>
      <c r="H65" s="33"/>
      <c r="I65" s="372"/>
      <c r="J65" s="770">
        <f>IFERROR(
SUM(
IFERROR(SUMPRODUCT('Mão de Obra'!E159:II159,'Mão de Obra'!$E$29:$II$29),0),
IFERROR(SUMPRODUCT(Produtividade!E159:II159,Produtividade!$E$29:$II$29),0),
IFERROR(SUMPRODUCT(Veículos!E69:II69,Veículos!$E$4:$II$4),0)
)
*
(1+IF(OR('Mão de Obra'!$D$152="Não",'Mão de Obra'!$D$152=""),'Mat Coletivo e Equipamentos'!I4,0)/SUM(J62,-'Mat Coletivo e Equipamentos'!I4)),0)</f>
        <v>1249.7880249908819</v>
      </c>
      <c r="K65" s="765">
        <f>J65*$J$6</f>
        <v>14997.456299890582</v>
      </c>
      <c r="L65" s="488"/>
      <c r="M65" s="647"/>
    </row>
    <row r="66" spans="2:14">
      <c r="B66" s="51" t="s">
        <v>254</v>
      </c>
      <c r="C66" s="255"/>
      <c r="F66" s="29"/>
      <c r="H66" s="33"/>
      <c r="I66" s="372"/>
      <c r="J66" s="770">
        <f>IFERROR(
SUM(
IFERROR(SUMPRODUCT('Mão de Obra'!E169:II169,'Mão de Obra'!$E$29:$II$29),0),
IFERROR(SUMPRODUCT(Produtividade!E169:II169,Produtividade!$E$29:$II$29),0),
IFERROR(SUMPRODUCT(Veículos!E79:II79,Veículos!$E$4:$II$4),0)
)
*
(1+IF(OR('Mão de Obra'!$D$152="Não",'Mão de Obra'!$D$152=""),'Mat Coletivo e Equipamentos'!I4,0)/SUM(J62,-'Mat Coletivo e Equipamentos'!I4)),0)</f>
        <v>1301.7819465334589</v>
      </c>
      <c r="K66" s="765">
        <f>J66*$J$6</f>
        <v>15621.383358401508</v>
      </c>
      <c r="L66" s="488"/>
      <c r="M66" s="647"/>
    </row>
    <row r="67" spans="2:14">
      <c r="B67" s="55" t="s">
        <v>252</v>
      </c>
      <c r="C67" s="52"/>
      <c r="D67" s="52"/>
      <c r="E67" s="52"/>
      <c r="F67" s="53"/>
      <c r="G67" s="54"/>
      <c r="H67" s="54"/>
      <c r="I67" s="373"/>
      <c r="J67" s="54">
        <f>IFERROR(
SUM(
IFERROR(SUMPRODUCT('Mão de Obra'!E171:II171,'Mão de Obra'!$E$29:$II$29),0),
IFERROR(SUMPRODUCT(Produtividade!E171:II171,Produtividade!$E$29:$II$29),0),
IFERROR(SUMPRODUCT(Veículos!E81:II81,Veículos!$E$4:$II$4),0),
IFERROR('Mat Coletivo e Equipamentos'!J4-'Mat Coletivo e Equipamentos'!I4,0)
),0)</f>
        <v>3141.26</v>
      </c>
      <c r="K67" s="771">
        <f>J67*$J$6</f>
        <v>37695.120000000003</v>
      </c>
      <c r="L67" s="488"/>
      <c r="M67" s="647"/>
      <c r="N67" s="488"/>
    </row>
    <row r="68" spans="2:14">
      <c r="B68" s="56" t="s">
        <v>222</v>
      </c>
      <c r="C68" s="28"/>
      <c r="D68" s="28"/>
      <c r="E68" s="28"/>
      <c r="F68" s="31"/>
      <c r="G68" s="30"/>
      <c r="H68" s="30"/>
      <c r="I68" s="30"/>
      <c r="J68" s="30">
        <f>SUM(J62,J67)</f>
        <v>15043.970000000001</v>
      </c>
      <c r="K68" s="772">
        <f>SUM(K62,K67)</f>
        <v>180527.64</v>
      </c>
      <c r="M68" s="647"/>
      <c r="N68" s="488"/>
    </row>
    <row r="69" spans="2:14" ht="6.75" customHeight="1">
      <c r="B69" s="350"/>
      <c r="C69" s="3"/>
      <c r="D69" s="3"/>
      <c r="E69" s="3"/>
      <c r="F69" s="299"/>
      <c r="G69" s="299"/>
      <c r="H69" s="40"/>
      <c r="I69" s="40"/>
      <c r="J69" s="40"/>
      <c r="K69" s="40"/>
      <c r="L69" s="489"/>
    </row>
    <row r="70" spans="2:14" hidden="1">
      <c r="B70" s="462" t="s">
        <v>418</v>
      </c>
      <c r="C70" s="463"/>
      <c r="D70" s="463"/>
      <c r="E70" s="463"/>
      <c r="F70" s="463"/>
      <c r="G70" s="463"/>
      <c r="H70" s="463"/>
      <c r="I70" s="463"/>
      <c r="J70" s="463"/>
      <c r="K70" s="464"/>
    </row>
    <row r="71" spans="2:14" ht="30" hidden="1">
      <c r="B71" s="465" t="s">
        <v>410</v>
      </c>
      <c r="C71" s="466"/>
      <c r="D71" s="466"/>
      <c r="E71" s="466"/>
      <c r="F71" s="847" t="s">
        <v>723</v>
      </c>
      <c r="G71" s="847"/>
      <c r="H71" s="467" t="s">
        <v>412</v>
      </c>
      <c r="I71" s="467" t="s">
        <v>724</v>
      </c>
      <c r="J71" s="467" t="s">
        <v>725</v>
      </c>
      <c r="K71" s="468" t="s">
        <v>345</v>
      </c>
      <c r="M71" s="488"/>
      <c r="N71" s="647"/>
    </row>
    <row r="72" spans="2:14" hidden="1">
      <c r="B72" s="646" t="s">
        <v>726</v>
      </c>
      <c r="C72" s="470"/>
      <c r="D72" s="471"/>
      <c r="E72" s="471"/>
      <c r="F72" s="848"/>
      <c r="G72" s="848"/>
      <c r="H72" s="473" t="str">
        <f>IFERROR(J68/F72,"")</f>
        <v/>
      </c>
      <c r="I72" s="755"/>
      <c r="J72" s="482">
        <f>K72/J6</f>
        <v>0</v>
      </c>
      <c r="K72" s="474">
        <f>PRODUCT(H72,I72)</f>
        <v>0</v>
      </c>
    </row>
    <row r="73" spans="2:14" hidden="1">
      <c r="B73" s="462"/>
      <c r="C73" s="463"/>
      <c r="D73" s="463"/>
      <c r="E73" s="463"/>
      <c r="F73" s="849"/>
      <c r="G73" s="849"/>
      <c r="H73" s="753"/>
      <c r="I73" s="754"/>
      <c r="J73" s="483">
        <f>SUM(J72:J72)</f>
        <v>0</v>
      </c>
      <c r="K73" s="484">
        <f>SUM(K72:K72)</f>
        <v>0</v>
      </c>
    </row>
    <row r="75" spans="2:14">
      <c r="J75" s="762"/>
    </row>
    <row r="76" spans="2:14">
      <c r="J76" s="763"/>
      <c r="K76" s="763"/>
    </row>
  </sheetData>
  <sheetProtection sheet="1" formatCells="0" formatColumns="0" formatRows="0" insertColumns="0" insertRows="0" deleteColumns="0" deleteRows="0"/>
  <mergeCells count="28">
    <mergeCell ref="G9:H9"/>
    <mergeCell ref="B2:K2"/>
    <mergeCell ref="B4:K4"/>
    <mergeCell ref="C9:F9"/>
    <mergeCell ref="J9:K9"/>
    <mergeCell ref="B3:K3"/>
    <mergeCell ref="B8:K8"/>
    <mergeCell ref="C6:F6"/>
    <mergeCell ref="C7:F7"/>
    <mergeCell ref="J6:K6"/>
    <mergeCell ref="J7:K7"/>
    <mergeCell ref="G7:I7"/>
    <mergeCell ref="G6:I6"/>
    <mergeCell ref="F71:G71"/>
    <mergeCell ref="F72:G72"/>
    <mergeCell ref="F73:G73"/>
    <mergeCell ref="C13:F13"/>
    <mergeCell ref="J10:K10"/>
    <mergeCell ref="I13:K13"/>
    <mergeCell ref="G12:H12"/>
    <mergeCell ref="G13:H13"/>
    <mergeCell ref="I12:K12"/>
    <mergeCell ref="C12:F12"/>
    <mergeCell ref="C11:F11"/>
    <mergeCell ref="C10:F10"/>
    <mergeCell ref="G11:H11"/>
    <mergeCell ref="G10:H10"/>
    <mergeCell ref="I11:K11"/>
  </mergeCells>
  <conditionalFormatting sqref="C6:C7 J6:J7 B8 C9 J9:J10 C11:C13 I11:I13">
    <cfRule type="expression" dxfId="7" priority="76">
      <formula>#REF!</formula>
    </cfRule>
  </conditionalFormatting>
  <conditionalFormatting sqref="G36:G41">
    <cfRule type="expression" dxfId="6" priority="7">
      <formula>#REF!="Área (m²)"</formula>
    </cfRule>
  </conditionalFormatting>
  <conditionalFormatting sqref="G31:H32">
    <cfRule type="expression" dxfId="5" priority="1">
      <formula>#REF!="Área (m²)"</formula>
    </cfRule>
  </conditionalFormatting>
  <conditionalFormatting sqref="H33">
    <cfRule type="expression" dxfId="4" priority="20">
      <formula>#REF!="Área (m²)"</formula>
    </cfRule>
  </conditionalFormatting>
  <conditionalFormatting sqref="H36:H42">
    <cfRule type="expression" dxfId="3" priority="17">
      <formula>#REF!="Área (m²)"</formula>
    </cfRule>
  </conditionalFormatting>
  <conditionalFormatting sqref="I31">
    <cfRule type="expression" dxfId="2" priority="2">
      <formula>#REF!="Área (m²)"</formula>
    </cfRule>
  </conditionalFormatting>
  <conditionalFormatting sqref="I36:I40">
    <cfRule type="expression" dxfId="1" priority="16">
      <formula>#REF!="Área (m²)"</formula>
    </cfRule>
  </conditionalFormatting>
  <dataValidations count="1">
    <dataValidation type="list" allowBlank="1" sqref="J7">
      <formula1>"Valor Global,Mês,Dia,Hora"</formula1>
    </dataValidation>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x14:formula1>
            <xm:f>'Apoio - Dados'!$A:$A</xm:f>
          </x14:formula1>
          <xm:sqref>B3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
  <dimension ref="A1:J19"/>
  <sheetViews>
    <sheetView showGridLines="0" zoomScale="115" zoomScaleNormal="115" workbookViewId="0">
      <selection activeCell="F10" sqref="F10"/>
    </sheetView>
  </sheetViews>
  <sheetFormatPr defaultRowHeight="15"/>
  <cols>
    <col min="1" max="1" width="31.42578125" customWidth="1"/>
    <col min="2" max="3" width="15.28515625" customWidth="1"/>
    <col min="4" max="4" width="15.28515625" hidden="1" customWidth="1"/>
    <col min="5" max="5" width="15.28515625" style="2" customWidth="1"/>
    <col min="6" max="6" width="13.5703125" style="43" bestFit="1" customWidth="1"/>
    <col min="7" max="7" width="9" style="2" bestFit="1" customWidth="1"/>
    <col min="8" max="9" width="15.28515625" style="2" customWidth="1"/>
    <col min="10" max="10" width="12.140625" customWidth="1"/>
  </cols>
  <sheetData>
    <row r="1" spans="1:10" s="4" customFormat="1" ht="30.75" customHeight="1">
      <c r="A1" s="166" t="s">
        <v>68</v>
      </c>
      <c r="B1" s="166" t="s">
        <v>269</v>
      </c>
      <c r="C1" s="166" t="s">
        <v>433</v>
      </c>
      <c r="D1" s="166"/>
      <c r="E1" s="166" t="s">
        <v>62</v>
      </c>
      <c r="F1" s="166" t="s">
        <v>63</v>
      </c>
      <c r="G1" s="166" t="s">
        <v>61</v>
      </c>
      <c r="H1" s="166" t="s">
        <v>442</v>
      </c>
      <c r="I1" s="166" t="s">
        <v>437</v>
      </c>
      <c r="J1" s="166" t="s">
        <v>651</v>
      </c>
    </row>
    <row r="2" spans="1:10" s="4" customFormat="1" ht="15" customHeight="1">
      <c r="A2" s="166"/>
      <c r="B2" s="166"/>
      <c r="C2" s="166"/>
      <c r="D2" s="166"/>
      <c r="E2" s="166"/>
      <c r="F2" s="166"/>
      <c r="G2" s="166"/>
      <c r="H2" s="166"/>
      <c r="I2" s="166"/>
      <c r="J2" s="166"/>
    </row>
    <row r="3" spans="1:10">
      <c r="A3" s="165" t="s">
        <v>45</v>
      </c>
      <c r="B3" s="286">
        <v>2</v>
      </c>
      <c r="C3" s="450" t="s">
        <v>434</v>
      </c>
      <c r="D3" s="286"/>
      <c r="E3" s="286" t="s">
        <v>388</v>
      </c>
      <c r="F3" s="286"/>
      <c r="G3" s="286">
        <v>15</v>
      </c>
      <c r="H3" s="286">
        <v>220</v>
      </c>
      <c r="I3" s="286">
        <f>G3*12</f>
        <v>180</v>
      </c>
      <c r="J3" s="286">
        <f>I3/G3</f>
        <v>12</v>
      </c>
    </row>
    <row r="4" spans="1:10">
      <c r="A4" s="165" t="s">
        <v>46</v>
      </c>
      <c r="B4" s="286">
        <v>2</v>
      </c>
      <c r="C4" s="450" t="s">
        <v>434</v>
      </c>
      <c r="D4" s="286"/>
      <c r="E4" s="286" t="s">
        <v>388</v>
      </c>
      <c r="F4" s="286"/>
      <c r="G4" s="286">
        <v>15</v>
      </c>
      <c r="H4" s="286">
        <v>220</v>
      </c>
      <c r="I4" s="286">
        <f>G4*12</f>
        <v>180</v>
      </c>
      <c r="J4" s="286">
        <f t="shared" ref="J4:J18" si="0">I4/G4</f>
        <v>12</v>
      </c>
    </row>
    <row r="5" spans="1:10">
      <c r="A5" s="165" t="s">
        <v>470</v>
      </c>
      <c r="B5" s="286">
        <v>1</v>
      </c>
      <c r="C5" s="450" t="s">
        <v>434</v>
      </c>
      <c r="D5" s="286"/>
      <c r="E5" s="286">
        <v>1</v>
      </c>
      <c r="F5" s="286">
        <v>4</v>
      </c>
      <c r="G5" s="286">
        <f>E5*4</f>
        <v>4</v>
      </c>
      <c r="H5" s="286">
        <f t="shared" ref="H5:H13" si="1">F5*30/6</f>
        <v>20</v>
      </c>
      <c r="I5" s="286">
        <f>F5*4</f>
        <v>16</v>
      </c>
      <c r="J5" s="286">
        <f t="shared" si="0"/>
        <v>4</v>
      </c>
    </row>
    <row r="6" spans="1:10">
      <c r="A6" s="165" t="s">
        <v>471</v>
      </c>
      <c r="B6" s="286">
        <v>1</v>
      </c>
      <c r="C6" s="450" t="s">
        <v>434</v>
      </c>
      <c r="D6" s="286"/>
      <c r="E6" s="286">
        <v>1</v>
      </c>
      <c r="F6" s="286">
        <v>6</v>
      </c>
      <c r="G6" s="286">
        <f t="shared" ref="G6:G10" si="2">E6*4</f>
        <v>4</v>
      </c>
      <c r="H6" s="286">
        <f t="shared" si="1"/>
        <v>30</v>
      </c>
      <c r="I6" s="286">
        <f>F6*4</f>
        <v>24</v>
      </c>
      <c r="J6" s="286">
        <f t="shared" si="0"/>
        <v>6</v>
      </c>
    </row>
    <row r="7" spans="1:10">
      <c r="A7" s="165" t="s">
        <v>472</v>
      </c>
      <c r="B7" s="286">
        <v>1</v>
      </c>
      <c r="C7" s="450" t="s">
        <v>434</v>
      </c>
      <c r="D7" s="286"/>
      <c r="E7" s="286">
        <v>1</v>
      </c>
      <c r="F7" s="286">
        <v>8</v>
      </c>
      <c r="G7" s="286">
        <f t="shared" si="2"/>
        <v>4</v>
      </c>
      <c r="H7" s="286">
        <f t="shared" si="1"/>
        <v>40</v>
      </c>
      <c r="I7" s="286">
        <f>F7*4</f>
        <v>32</v>
      </c>
      <c r="J7" s="286">
        <f t="shared" si="0"/>
        <v>8</v>
      </c>
    </row>
    <row r="8" spans="1:10">
      <c r="A8" s="165" t="s">
        <v>480</v>
      </c>
      <c r="B8" s="286">
        <v>1</v>
      </c>
      <c r="C8" s="450" t="s">
        <v>434</v>
      </c>
      <c r="D8" s="286"/>
      <c r="E8" s="286">
        <v>2</v>
      </c>
      <c r="F8" s="286">
        <v>12</v>
      </c>
      <c r="G8" s="286">
        <f t="shared" si="2"/>
        <v>8</v>
      </c>
      <c r="H8" s="286">
        <f t="shared" si="1"/>
        <v>60</v>
      </c>
      <c r="I8" s="286">
        <f t="shared" ref="I8:I9" si="3">F8*4</f>
        <v>48</v>
      </c>
      <c r="J8" s="286">
        <f t="shared" si="0"/>
        <v>6</v>
      </c>
    </row>
    <row r="9" spans="1:10">
      <c r="A9" s="165" t="s">
        <v>481</v>
      </c>
      <c r="B9" s="286">
        <v>1</v>
      </c>
      <c r="C9" s="450" t="s">
        <v>434</v>
      </c>
      <c r="D9" s="286"/>
      <c r="E9" s="286">
        <v>2</v>
      </c>
      <c r="F9" s="286">
        <v>16</v>
      </c>
      <c r="G9" s="286">
        <f t="shared" si="2"/>
        <v>8</v>
      </c>
      <c r="H9" s="286">
        <f t="shared" si="1"/>
        <v>80</v>
      </c>
      <c r="I9" s="286">
        <f t="shared" si="3"/>
        <v>64</v>
      </c>
      <c r="J9" s="286">
        <f t="shared" si="0"/>
        <v>8</v>
      </c>
    </row>
    <row r="10" spans="1:10">
      <c r="A10" s="165" t="s">
        <v>733</v>
      </c>
      <c r="B10" s="286">
        <v>1</v>
      </c>
      <c r="C10" s="450" t="s">
        <v>434</v>
      </c>
      <c r="D10" s="286"/>
      <c r="E10" s="286">
        <v>2</v>
      </c>
      <c r="F10" s="286">
        <f>58/4</f>
        <v>14.5</v>
      </c>
      <c r="G10" s="286">
        <f t="shared" si="2"/>
        <v>8</v>
      </c>
      <c r="H10" s="286">
        <f t="shared" si="1"/>
        <v>72.5</v>
      </c>
      <c r="I10" s="286">
        <f>F10*4</f>
        <v>58</v>
      </c>
      <c r="J10" s="286">
        <f>I10/G10</f>
        <v>7.25</v>
      </c>
    </row>
    <row r="11" spans="1:10">
      <c r="A11" s="165" t="s">
        <v>473</v>
      </c>
      <c r="B11" s="286">
        <v>1</v>
      </c>
      <c r="C11" s="450" t="s">
        <v>434</v>
      </c>
      <c r="D11" s="286"/>
      <c r="E11" s="286">
        <v>5</v>
      </c>
      <c r="F11" s="286">
        <v>20</v>
      </c>
      <c r="G11" s="286">
        <f>E11*4+2</f>
        <v>22</v>
      </c>
      <c r="H11" s="286">
        <f t="shared" si="1"/>
        <v>100</v>
      </c>
      <c r="I11" s="286">
        <f>F11*4+2*4</f>
        <v>88</v>
      </c>
      <c r="J11" s="286">
        <f t="shared" si="0"/>
        <v>4</v>
      </c>
    </row>
    <row r="12" spans="1:10">
      <c r="A12" s="165" t="s">
        <v>730</v>
      </c>
      <c r="B12" s="286">
        <v>1</v>
      </c>
      <c r="C12" s="450" t="s">
        <v>434</v>
      </c>
      <c r="D12" s="286"/>
      <c r="E12" s="286">
        <v>5</v>
      </c>
      <c r="F12" s="286">
        <v>25</v>
      </c>
      <c r="G12" s="286">
        <f>E12*4+2</f>
        <v>22</v>
      </c>
      <c r="H12" s="286">
        <f t="shared" si="1"/>
        <v>125</v>
      </c>
      <c r="I12" s="286">
        <f>F12*4+2*4</f>
        <v>108</v>
      </c>
      <c r="J12" s="760">
        <f t="shared" si="0"/>
        <v>4.9090909090909092</v>
      </c>
    </row>
    <row r="13" spans="1:10">
      <c r="A13" s="165" t="s">
        <v>474</v>
      </c>
      <c r="B13" s="286">
        <v>1</v>
      </c>
      <c r="C13" s="450" t="s">
        <v>434</v>
      </c>
      <c r="D13" s="286"/>
      <c r="E13" s="286">
        <v>5</v>
      </c>
      <c r="F13" s="286">
        <v>30</v>
      </c>
      <c r="G13" s="286">
        <f t="shared" ref="G13:G14" si="4">E13*4+2</f>
        <v>22</v>
      </c>
      <c r="H13" s="286">
        <f t="shared" si="1"/>
        <v>150</v>
      </c>
      <c r="I13" s="286">
        <f>F13*4+2*6</f>
        <v>132</v>
      </c>
      <c r="J13" s="286">
        <f t="shared" si="0"/>
        <v>6</v>
      </c>
    </row>
    <row r="14" spans="1:10">
      <c r="A14" s="165" t="s">
        <v>475</v>
      </c>
      <c r="B14" s="286">
        <v>1</v>
      </c>
      <c r="C14" s="450" t="s">
        <v>434</v>
      </c>
      <c r="D14" s="286"/>
      <c r="E14" s="286">
        <v>5</v>
      </c>
      <c r="F14" s="286">
        <v>35</v>
      </c>
      <c r="G14" s="286">
        <f t="shared" si="4"/>
        <v>22</v>
      </c>
      <c r="H14" s="286">
        <v>175</v>
      </c>
      <c r="I14" s="286">
        <f>F14*4+2*7</f>
        <v>154</v>
      </c>
      <c r="J14" s="286">
        <f t="shared" si="0"/>
        <v>7</v>
      </c>
    </row>
    <row r="15" spans="1:10">
      <c r="A15" s="165" t="s">
        <v>476</v>
      </c>
      <c r="B15" s="286">
        <v>1</v>
      </c>
      <c r="C15" s="450" t="s">
        <v>434</v>
      </c>
      <c r="D15" s="286"/>
      <c r="E15" s="286">
        <v>6</v>
      </c>
      <c r="F15" s="286">
        <v>36</v>
      </c>
      <c r="G15" s="286">
        <f>E15*4+2</f>
        <v>26</v>
      </c>
      <c r="H15" s="286">
        <f>F15*30/6</f>
        <v>180</v>
      </c>
      <c r="I15" s="286">
        <f>F15*4+2*6</f>
        <v>156</v>
      </c>
      <c r="J15" s="286">
        <f t="shared" si="0"/>
        <v>6</v>
      </c>
    </row>
    <row r="16" spans="1:10">
      <c r="A16" s="165" t="s">
        <v>477</v>
      </c>
      <c r="B16" s="286">
        <v>1</v>
      </c>
      <c r="C16" s="450" t="s">
        <v>434</v>
      </c>
      <c r="D16" s="286"/>
      <c r="E16" s="286">
        <v>5</v>
      </c>
      <c r="F16" s="286">
        <v>40</v>
      </c>
      <c r="G16" s="286">
        <f>E16*4+2</f>
        <v>22</v>
      </c>
      <c r="H16" s="286">
        <f>F16*30/6</f>
        <v>200</v>
      </c>
      <c r="I16" s="286">
        <f>F16*4+2*8</f>
        <v>176</v>
      </c>
      <c r="J16" s="286">
        <f t="shared" si="0"/>
        <v>8</v>
      </c>
    </row>
    <row r="17" spans="1:10">
      <c r="A17" s="165" t="s">
        <v>478</v>
      </c>
      <c r="B17" s="286">
        <v>1</v>
      </c>
      <c r="C17" s="450" t="s">
        <v>434</v>
      </c>
      <c r="D17" s="286"/>
      <c r="E17" s="286">
        <v>5</v>
      </c>
      <c r="F17" s="286">
        <v>44</v>
      </c>
      <c r="G17" s="286">
        <f>E17*4+2</f>
        <v>22</v>
      </c>
      <c r="H17" s="286">
        <f>F17*30/6</f>
        <v>220</v>
      </c>
      <c r="I17" s="286">
        <f>F17*4+2*8</f>
        <v>192</v>
      </c>
      <c r="J17" s="286">
        <f t="shared" si="0"/>
        <v>8.7272727272727266</v>
      </c>
    </row>
    <row r="18" spans="1:10">
      <c r="A18" s="165" t="s">
        <v>479</v>
      </c>
      <c r="B18" s="286">
        <v>1</v>
      </c>
      <c r="C18" s="450" t="s">
        <v>434</v>
      </c>
      <c r="D18" s="286"/>
      <c r="E18" s="286">
        <v>6</v>
      </c>
      <c r="F18" s="286">
        <v>44</v>
      </c>
      <c r="G18" s="286">
        <f>E18*4+2</f>
        <v>26</v>
      </c>
      <c r="H18" s="286">
        <f>F18*30/6</f>
        <v>220</v>
      </c>
      <c r="I18" s="286">
        <f>F18*4+2*8</f>
        <v>192</v>
      </c>
      <c r="J18" s="286">
        <f t="shared" si="0"/>
        <v>7.384615384615385</v>
      </c>
    </row>
    <row r="19" spans="1:10">
      <c r="I19"/>
    </row>
  </sheetData>
  <sheetProtection sheet="1" objects="1" scenarios="1"/>
  <dataValidations count="1">
    <dataValidation type="list" allowBlank="1" showInputMessage="1" showErrorMessage="1" sqref="C1:C1048576">
      <formula1>"Mensal,Diária"</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5"/>
  <dimension ref="A2:S189"/>
  <sheetViews>
    <sheetView showGridLines="0" zoomScale="80" zoomScaleNormal="80" workbookViewId="0">
      <selection activeCell="C186" sqref="C186"/>
    </sheetView>
  </sheetViews>
  <sheetFormatPr defaultColWidth="9.140625" defaultRowHeight="15" customHeight="1"/>
  <cols>
    <col min="1" max="1" width="3.42578125" style="287" customWidth="1"/>
    <col min="2" max="2" width="5" style="551" customWidth="1"/>
    <col min="3" max="3" width="45.5703125" style="288" customWidth="1"/>
    <col min="4" max="4" width="49.140625" style="551" customWidth="1"/>
    <col min="5" max="6" width="52.28515625" style="551" customWidth="1"/>
    <col min="7" max="7" width="2.42578125" style="503" customWidth="1"/>
    <col min="8" max="17" width="17.7109375" style="504" customWidth="1"/>
    <col min="18" max="18" width="24.28515625" style="287" customWidth="1"/>
    <col min="19" max="16384" width="9.140625" style="287"/>
  </cols>
  <sheetData>
    <row r="2" spans="1:18" ht="15" customHeight="1">
      <c r="A2" s="497"/>
      <c r="B2" s="498"/>
      <c r="C2" s="499" t="s">
        <v>653</v>
      </c>
      <c r="D2" s="500"/>
      <c r="E2" s="501"/>
      <c r="F2" s="502"/>
    </row>
    <row r="3" spans="1:18" ht="15" customHeight="1">
      <c r="A3" s="497"/>
      <c r="B3" s="505" t="s">
        <v>2</v>
      </c>
      <c r="C3" s="506" t="s">
        <v>190</v>
      </c>
      <c r="D3" s="507">
        <v>7</v>
      </c>
      <c r="E3" s="508"/>
      <c r="F3" s="509"/>
    </row>
    <row r="4" spans="1:18" ht="15" customHeight="1">
      <c r="B4" s="505" t="s">
        <v>1</v>
      </c>
      <c r="C4" s="506" t="s">
        <v>191</v>
      </c>
      <c r="D4" s="507">
        <v>365.25</v>
      </c>
      <c r="E4" s="510"/>
      <c r="F4" s="509"/>
    </row>
    <row r="5" spans="1:18" ht="15" customHeight="1">
      <c r="B5" s="505" t="s">
        <v>0</v>
      </c>
      <c r="C5" s="506" t="s">
        <v>192</v>
      </c>
      <c r="D5" s="507">
        <f>D4/D10</f>
        <v>30.4375</v>
      </c>
      <c r="E5" s="511"/>
      <c r="F5" s="509"/>
    </row>
    <row r="6" spans="1:18" ht="15" customHeight="1">
      <c r="B6" s="505" t="s">
        <v>3</v>
      </c>
      <c r="C6" s="506" t="s">
        <v>646</v>
      </c>
      <c r="D6" s="507">
        <v>22</v>
      </c>
      <c r="E6" s="511"/>
      <c r="F6" s="509"/>
    </row>
    <row r="7" spans="1:18" ht="15" customHeight="1">
      <c r="B7" s="505" t="s">
        <v>7</v>
      </c>
      <c r="C7" s="506" t="s">
        <v>397</v>
      </c>
      <c r="D7" s="512">
        <f>D9/D10</f>
        <v>4.3482142857142856</v>
      </c>
      <c r="E7" s="513"/>
      <c r="F7" s="509" t="str">
        <f>""</f>
        <v/>
      </c>
    </row>
    <row r="8" spans="1:18" ht="15" customHeight="1">
      <c r="B8" s="505" t="s">
        <v>6</v>
      </c>
      <c r="C8" s="506" t="s">
        <v>650</v>
      </c>
      <c r="D8" s="512">
        <f>D7/2</f>
        <v>2.1741071428571428</v>
      </c>
      <c r="E8" s="513"/>
      <c r="F8" s="509"/>
    </row>
    <row r="9" spans="1:18" ht="15" customHeight="1">
      <c r="B9" s="505" t="s">
        <v>5</v>
      </c>
      <c r="C9" s="287" t="s">
        <v>398</v>
      </c>
      <c r="D9" s="507">
        <f>D4/7</f>
        <v>52.178571428571431</v>
      </c>
      <c r="E9" s="514"/>
      <c r="F9" s="515"/>
      <c r="H9" s="516"/>
    </row>
    <row r="10" spans="1:18" ht="15" customHeight="1">
      <c r="B10" s="505" t="s">
        <v>4</v>
      </c>
      <c r="C10" s="506" t="s">
        <v>193</v>
      </c>
      <c r="D10" s="507">
        <v>12</v>
      </c>
      <c r="E10" s="510"/>
      <c r="F10" s="517"/>
    </row>
    <row r="11" spans="1:18" ht="15" customHeight="1">
      <c r="B11" s="505" t="s">
        <v>113</v>
      </c>
      <c r="C11" s="506" t="s">
        <v>194</v>
      </c>
      <c r="D11" s="507">
        <v>60</v>
      </c>
      <c r="E11" s="510"/>
      <c r="F11" s="518"/>
    </row>
    <row r="12" spans="1:18" ht="15" customHeight="1">
      <c r="B12" s="505" t="s">
        <v>140</v>
      </c>
      <c r="C12" s="506" t="s">
        <v>195</v>
      </c>
      <c r="D12" s="507">
        <v>52.5</v>
      </c>
      <c r="E12" s="518"/>
      <c r="F12" s="518"/>
    </row>
    <row r="13" spans="1:18" ht="15" customHeight="1">
      <c r="B13" s="519"/>
      <c r="C13" s="520"/>
      <c r="D13" s="521"/>
      <c r="E13" s="521"/>
      <c r="F13" s="521"/>
      <c r="H13" s="522"/>
      <c r="I13" s="522"/>
      <c r="J13" s="522"/>
      <c r="K13" s="522"/>
      <c r="L13" s="522"/>
      <c r="M13" s="522"/>
      <c r="N13" s="522"/>
      <c r="O13" s="522"/>
      <c r="P13" s="522"/>
      <c r="Q13" s="522"/>
    </row>
    <row r="14" spans="1:18" s="526" customFormat="1" ht="15" customHeight="1">
      <c r="A14" s="523"/>
      <c r="B14" s="893"/>
      <c r="C14" s="890"/>
      <c r="D14" s="885" t="s">
        <v>315</v>
      </c>
      <c r="E14" s="885" t="s">
        <v>142</v>
      </c>
      <c r="F14" s="885" t="s">
        <v>312</v>
      </c>
      <c r="G14" s="503"/>
      <c r="H14" s="884" t="s">
        <v>130</v>
      </c>
      <c r="I14" s="884"/>
      <c r="J14" s="884"/>
      <c r="K14" s="884"/>
      <c r="L14" s="884"/>
      <c r="M14" s="884"/>
      <c r="N14" s="884"/>
      <c r="O14" s="884"/>
      <c r="P14" s="884"/>
      <c r="Q14" s="884"/>
      <c r="R14" s="525"/>
    </row>
    <row r="15" spans="1:18" ht="15" customHeight="1">
      <c r="A15" s="497"/>
      <c r="B15" s="894"/>
      <c r="C15" s="891"/>
      <c r="D15" s="886"/>
      <c r="E15" s="886"/>
      <c r="F15" s="886"/>
      <c r="H15" s="884" t="s">
        <v>59</v>
      </c>
      <c r="I15" s="884" t="s">
        <v>58</v>
      </c>
      <c r="J15" s="884" t="s">
        <v>427</v>
      </c>
      <c r="K15" s="524" t="s">
        <v>313</v>
      </c>
      <c r="L15" s="524" t="s">
        <v>313</v>
      </c>
      <c r="M15" s="524" t="s">
        <v>313</v>
      </c>
      <c r="N15" s="524" t="s">
        <v>313</v>
      </c>
      <c r="O15" s="524" t="s">
        <v>313</v>
      </c>
      <c r="P15" s="524" t="s">
        <v>313</v>
      </c>
      <c r="Q15" s="884" t="s">
        <v>48</v>
      </c>
      <c r="R15" s="527"/>
    </row>
    <row r="16" spans="1:18" ht="15" customHeight="1">
      <c r="A16" s="497"/>
      <c r="B16" s="895"/>
      <c r="C16" s="892"/>
      <c r="D16" s="887"/>
      <c r="E16" s="887"/>
      <c r="F16" s="887"/>
      <c r="H16" s="884"/>
      <c r="I16" s="884"/>
      <c r="J16" s="884"/>
      <c r="K16" s="524" t="s">
        <v>131</v>
      </c>
      <c r="L16" s="524" t="s">
        <v>136</v>
      </c>
      <c r="M16" s="524" t="s">
        <v>135</v>
      </c>
      <c r="N16" s="524" t="s">
        <v>134</v>
      </c>
      <c r="O16" s="524" t="s">
        <v>133</v>
      </c>
      <c r="P16" s="524" t="s">
        <v>132</v>
      </c>
      <c r="Q16" s="884"/>
      <c r="R16" s="527"/>
    </row>
    <row r="17" spans="1:18" ht="15" customHeight="1">
      <c r="A17" s="497"/>
      <c r="B17" s="528"/>
      <c r="C17" s="529" t="s">
        <v>196</v>
      </c>
      <c r="D17" s="530"/>
      <c r="E17" s="530"/>
      <c r="F17" s="530"/>
      <c r="H17" s="531"/>
      <c r="I17" s="532"/>
      <c r="J17" s="532"/>
      <c r="K17" s="533">
        <v>180000</v>
      </c>
      <c r="L17" s="533">
        <v>360000</v>
      </c>
      <c r="M17" s="533">
        <v>720000</v>
      </c>
      <c r="N17" s="533">
        <v>1800000</v>
      </c>
      <c r="O17" s="533">
        <v>3600000</v>
      </c>
      <c r="P17" s="533">
        <v>4800000</v>
      </c>
      <c r="Q17" s="534" t="str">
        <f>IF(IFERROR(SUM(Produtividade!L196:L221)&gt;0,FALSE()),Produtividade!D13,
IF(IFERROR(Veículos!$E$3&lt;&gt;"",FALSE()),'Mão de Obra'!D13,'Mão de Obra'!D13))</f>
        <v>Lucro Presumido</v>
      </c>
      <c r="R17" s="527"/>
    </row>
    <row r="18" spans="1:18" ht="15" customHeight="1">
      <c r="A18" s="497"/>
      <c r="B18" s="528"/>
      <c r="C18" s="529" t="s">
        <v>106</v>
      </c>
      <c r="D18" s="530"/>
      <c r="E18" s="530"/>
      <c r="F18" s="530"/>
      <c r="H18" s="531"/>
      <c r="I18" s="532"/>
      <c r="J18" s="532"/>
      <c r="K18" s="533">
        <v>0</v>
      </c>
      <c r="L18" s="533">
        <v>9360</v>
      </c>
      <c r="M18" s="533">
        <v>17640</v>
      </c>
      <c r="N18" s="533">
        <v>35640</v>
      </c>
      <c r="O18" s="533">
        <v>125640</v>
      </c>
      <c r="P18" s="533">
        <v>648000</v>
      </c>
      <c r="Q18" s="533" t="str">
        <f>IF(Q17="Simples",
IF(IFERROR(SUM(Produtividade!L196:L221)&gt;0,FALSE()),Produtividade!D14,
IF(IFERROR(Veículos!$E$3&lt;&gt;"",FALSE()),'Mão de Obra'!D14,'Mão de Obra'!D14)),"")</f>
        <v/>
      </c>
      <c r="R18" s="527"/>
    </row>
    <row r="19" spans="1:18" ht="15" customHeight="1">
      <c r="A19" s="497"/>
      <c r="B19" s="528"/>
      <c r="C19" s="529" t="s">
        <v>197</v>
      </c>
      <c r="D19" s="530"/>
      <c r="E19" s="530"/>
      <c r="F19" s="530"/>
      <c r="H19" s="531"/>
      <c r="I19" s="532"/>
      <c r="J19" s="532"/>
      <c r="K19" s="535">
        <v>0.06</v>
      </c>
      <c r="L19" s="536">
        <v>0.112</v>
      </c>
      <c r="M19" s="536">
        <v>0.13500000000000001</v>
      </c>
      <c r="N19" s="535">
        <v>0.16</v>
      </c>
      <c r="O19" s="535">
        <v>0.21</v>
      </c>
      <c r="P19" s="535">
        <v>0.33</v>
      </c>
      <c r="Q19" s="534"/>
      <c r="R19" s="527"/>
    </row>
    <row r="20" spans="1:18" s="503" customFormat="1" ht="15" customHeight="1">
      <c r="B20" s="537"/>
      <c r="C20"/>
    </row>
    <row r="21" spans="1:18" s="3" customFormat="1" ht="15" customHeight="1">
      <c r="B21" s="498"/>
      <c r="C21" s="538" t="s">
        <v>178</v>
      </c>
      <c r="D21" s="538"/>
      <c r="E21" s="538"/>
      <c r="F21" s="500"/>
      <c r="H21" s="498"/>
      <c r="I21" s="539"/>
      <c r="J21" s="539"/>
      <c r="K21" s="539"/>
      <c r="L21" s="539"/>
      <c r="M21" s="539"/>
      <c r="N21" s="539"/>
      <c r="O21" s="539"/>
      <c r="P21" s="539"/>
      <c r="Q21" s="540"/>
    </row>
    <row r="22" spans="1:18" s="503" customFormat="1" ht="15" customHeight="1">
      <c r="B22" s="541" t="s">
        <v>2</v>
      </c>
      <c r="C22" s="542" t="s">
        <v>143</v>
      </c>
      <c r="D22" s="543"/>
      <c r="E22" s="544" t="s">
        <v>93</v>
      </c>
      <c r="F22" s="544" t="s">
        <v>727</v>
      </c>
      <c r="H22" s="545"/>
      <c r="I22" s="545"/>
      <c r="J22" s="545"/>
      <c r="K22" s="545"/>
      <c r="L22" s="545"/>
      <c r="M22" s="545"/>
      <c r="N22" s="545"/>
      <c r="O22" s="545"/>
      <c r="P22" s="545"/>
      <c r="Q22" s="545"/>
    </row>
    <row r="23" spans="1:18" s="503" customFormat="1" ht="15" customHeight="1">
      <c r="B23" s="541" t="s">
        <v>1</v>
      </c>
      <c r="C23" s="546" t="s">
        <v>144</v>
      </c>
      <c r="D23" s="547" t="s">
        <v>94</v>
      </c>
      <c r="E23" s="547" t="s">
        <v>495</v>
      </c>
      <c r="F23" s="548" t="s">
        <v>496</v>
      </c>
      <c r="H23" s="545"/>
      <c r="I23" s="545"/>
      <c r="J23" s="545"/>
      <c r="K23" s="545"/>
      <c r="L23" s="545"/>
      <c r="M23" s="545"/>
      <c r="N23" s="545"/>
      <c r="O23" s="545"/>
      <c r="P23" s="545"/>
      <c r="Q23" s="545"/>
    </row>
    <row r="24" spans="1:18" s="503" customFormat="1" ht="15" customHeight="1">
      <c r="B24" s="541" t="s">
        <v>0</v>
      </c>
      <c r="C24" s="542" t="s">
        <v>145</v>
      </c>
      <c r="D24" s="543" t="s">
        <v>497</v>
      </c>
      <c r="E24" s="544" t="s">
        <v>498</v>
      </c>
      <c r="F24" s="544" t="s">
        <v>499</v>
      </c>
      <c r="H24" s="545"/>
      <c r="I24" s="545"/>
      <c r="J24" s="545"/>
      <c r="K24" s="545"/>
      <c r="L24" s="545"/>
      <c r="M24" s="545"/>
      <c r="N24" s="545"/>
      <c r="O24" s="545"/>
      <c r="P24" s="545"/>
      <c r="Q24" s="545"/>
    </row>
    <row r="25" spans="1:18" s="503" customFormat="1" ht="15" customHeight="1">
      <c r="B25" s="541" t="s">
        <v>3</v>
      </c>
      <c r="C25" s="546" t="s">
        <v>81</v>
      </c>
      <c r="D25" s="547" t="s">
        <v>146</v>
      </c>
      <c r="E25" s="547" t="s">
        <v>500</v>
      </c>
      <c r="F25" s="548" t="s">
        <v>580</v>
      </c>
      <c r="H25" s="545"/>
      <c r="I25" s="545"/>
      <c r="J25" s="545"/>
      <c r="K25" s="545"/>
      <c r="L25" s="545"/>
      <c r="M25" s="545"/>
      <c r="N25" s="545"/>
      <c r="O25" s="545"/>
      <c r="P25" s="545"/>
      <c r="Q25" s="545"/>
    </row>
    <row r="26" spans="1:18" s="503" customFormat="1" ht="15" customHeight="1">
      <c r="B26" s="541" t="s">
        <v>7</v>
      </c>
      <c r="C26" s="542" t="s">
        <v>95</v>
      </c>
      <c r="D26" s="543" t="s">
        <v>147</v>
      </c>
      <c r="E26" s="544" t="s">
        <v>501</v>
      </c>
      <c r="F26" s="544" t="s">
        <v>502</v>
      </c>
      <c r="H26" s="545"/>
      <c r="I26" s="545"/>
      <c r="J26" s="545"/>
      <c r="K26" s="545"/>
      <c r="L26" s="545"/>
      <c r="M26" s="545"/>
      <c r="N26" s="545"/>
      <c r="O26" s="545"/>
      <c r="P26" s="545"/>
      <c r="Q26" s="545"/>
    </row>
    <row r="27" spans="1:18" s="503" customFormat="1" ht="15" customHeight="1">
      <c r="B27" s="541" t="s">
        <v>6</v>
      </c>
      <c r="C27" s="546" t="s">
        <v>139</v>
      </c>
      <c r="D27" s="547" t="s">
        <v>148</v>
      </c>
      <c r="E27" s="547" t="s">
        <v>501</v>
      </c>
      <c r="F27" s="548" t="s">
        <v>503</v>
      </c>
      <c r="H27" s="545"/>
      <c r="I27" s="545"/>
      <c r="J27" s="545"/>
      <c r="K27" s="545"/>
      <c r="L27" s="545"/>
      <c r="M27" s="545"/>
      <c r="N27" s="545"/>
      <c r="O27" s="545"/>
      <c r="P27" s="545"/>
      <c r="Q27" s="545"/>
    </row>
    <row r="28" spans="1:18" s="503" customFormat="1" ht="15" customHeight="1">
      <c r="B28" s="541" t="s">
        <v>5</v>
      </c>
      <c r="C28" s="542" t="s">
        <v>149</v>
      </c>
      <c r="D28" s="543" t="s">
        <v>150</v>
      </c>
      <c r="E28" s="544" t="s">
        <v>96</v>
      </c>
      <c r="F28" s="544" t="s">
        <v>504</v>
      </c>
      <c r="H28" s="545"/>
      <c r="I28" s="545"/>
      <c r="J28" s="545"/>
      <c r="K28" s="545"/>
      <c r="L28" s="545"/>
      <c r="M28" s="545"/>
      <c r="N28" s="545"/>
      <c r="O28" s="545"/>
      <c r="P28" s="545"/>
      <c r="Q28" s="545"/>
    </row>
    <row r="29" spans="1:18" s="503" customFormat="1" ht="15" customHeight="1">
      <c r="B29" s="541" t="s">
        <v>4</v>
      </c>
      <c r="C29" s="546" t="s">
        <v>82</v>
      </c>
      <c r="D29" s="547" t="s">
        <v>151</v>
      </c>
      <c r="E29" s="547" t="s">
        <v>505</v>
      </c>
      <c r="F29" s="548" t="s">
        <v>506</v>
      </c>
      <c r="H29" s="545"/>
      <c r="I29" s="545"/>
      <c r="J29" s="545"/>
      <c r="K29" s="545"/>
      <c r="L29" s="545"/>
      <c r="M29" s="545"/>
      <c r="N29" s="545"/>
      <c r="O29" s="545"/>
      <c r="P29" s="545"/>
      <c r="Q29" s="545"/>
    </row>
    <row r="30" spans="1:18" s="503" customFormat="1" ht="15" customHeight="1">
      <c r="B30" s="541" t="s">
        <v>113</v>
      </c>
      <c r="C30" s="544" t="s">
        <v>152</v>
      </c>
      <c r="D30" s="543" t="s">
        <v>153</v>
      </c>
      <c r="E30" s="544" t="s">
        <v>154</v>
      </c>
      <c r="F30" s="544" t="s">
        <v>507</v>
      </c>
      <c r="H30" s="545"/>
      <c r="I30" s="545"/>
      <c r="J30" s="545"/>
      <c r="K30" s="545"/>
      <c r="L30" s="545"/>
      <c r="M30" s="545"/>
      <c r="N30" s="545"/>
      <c r="O30" s="545"/>
      <c r="P30" s="545"/>
      <c r="Q30" s="545"/>
    </row>
    <row r="31" spans="1:18" s="503" customFormat="1" ht="15" customHeight="1">
      <c r="B31" s="541" t="s">
        <v>140</v>
      </c>
      <c r="C31" s="546" t="s">
        <v>173</v>
      </c>
      <c r="D31" s="547"/>
      <c r="E31" s="547"/>
      <c r="F31" s="548"/>
      <c r="H31" s="545"/>
      <c r="I31" s="545"/>
      <c r="J31" s="545"/>
      <c r="K31" s="545"/>
      <c r="L31" s="545"/>
      <c r="M31" s="545"/>
      <c r="N31" s="545"/>
      <c r="O31" s="545"/>
      <c r="P31" s="545"/>
      <c r="Q31" s="545"/>
    </row>
    <row r="32" spans="1:18" s="503" customFormat="1" ht="15" customHeight="1">
      <c r="B32" s="537"/>
      <c r="C32"/>
      <c r="H32" s="549"/>
      <c r="I32" s="549"/>
      <c r="J32" s="549"/>
      <c r="K32" s="549"/>
      <c r="L32" s="549"/>
      <c r="M32" s="549"/>
      <c r="N32" s="549"/>
      <c r="O32" s="549"/>
      <c r="P32" s="549"/>
      <c r="Q32" s="549"/>
    </row>
    <row r="33" spans="1:18" s="503" customFormat="1" ht="15" customHeight="1">
      <c r="B33" s="498"/>
      <c r="C33" s="550" t="s">
        <v>124</v>
      </c>
      <c r="D33" s="538"/>
      <c r="E33" s="538"/>
      <c r="F33" s="500"/>
      <c r="H33" s="498"/>
      <c r="I33" s="539"/>
      <c r="J33" s="539"/>
      <c r="K33" s="539"/>
      <c r="L33" s="539"/>
      <c r="M33" s="539"/>
      <c r="N33" s="539"/>
      <c r="O33" s="539"/>
      <c r="P33" s="539"/>
      <c r="Q33" s="540"/>
    </row>
    <row r="34" spans="1:18" ht="3.75" customHeight="1">
      <c r="C34" s="552"/>
      <c r="H34" s="553"/>
      <c r="I34" s="554"/>
      <c r="J34" s="554"/>
      <c r="K34" s="555"/>
      <c r="L34" s="556"/>
      <c r="M34" s="556"/>
      <c r="N34" s="555"/>
      <c r="O34" s="555"/>
      <c r="P34" s="555"/>
      <c r="Q34" s="557"/>
    </row>
    <row r="35" spans="1:18" s="565" customFormat="1" ht="15" customHeight="1">
      <c r="A35" s="558"/>
      <c r="B35" s="559"/>
      <c r="C35" s="560" t="s">
        <v>125</v>
      </c>
      <c r="D35" s="560"/>
      <c r="E35" s="560"/>
      <c r="F35" s="561"/>
      <c r="G35" s="3"/>
      <c r="H35" s="559"/>
      <c r="I35" s="562"/>
      <c r="J35" s="562"/>
      <c r="K35" s="562"/>
      <c r="L35" s="562"/>
      <c r="M35" s="562"/>
      <c r="N35" s="562"/>
      <c r="O35" s="562"/>
      <c r="P35" s="562"/>
      <c r="Q35" s="563"/>
      <c r="R35" s="564"/>
    </row>
    <row r="36" spans="1:18" ht="15" customHeight="1">
      <c r="A36" s="497"/>
      <c r="B36" s="566" t="s">
        <v>2</v>
      </c>
      <c r="C36" s="567" t="s">
        <v>56</v>
      </c>
      <c r="D36" s="543" t="s">
        <v>164</v>
      </c>
      <c r="E36" s="544" t="s">
        <v>508</v>
      </c>
      <c r="F36" s="544" t="s">
        <v>509</v>
      </c>
      <c r="H36" s="568">
        <f>(1/12)</f>
        <v>8.3333333333333329E-2</v>
      </c>
      <c r="I36" s="568">
        <f t="shared" ref="I36:P36" si="0">(1/12)</f>
        <v>8.3333333333333329E-2</v>
      </c>
      <c r="J36" s="568">
        <f t="shared" si="0"/>
        <v>8.3333333333333329E-2</v>
      </c>
      <c r="K36" s="568">
        <f t="shared" si="0"/>
        <v>8.3333333333333329E-2</v>
      </c>
      <c r="L36" s="568">
        <f t="shared" si="0"/>
        <v>8.3333333333333329E-2</v>
      </c>
      <c r="M36" s="568">
        <f t="shared" si="0"/>
        <v>8.3333333333333329E-2</v>
      </c>
      <c r="N36" s="568">
        <f t="shared" si="0"/>
        <v>8.3333333333333329E-2</v>
      </c>
      <c r="O36" s="568">
        <f t="shared" si="0"/>
        <v>8.3333333333333329E-2</v>
      </c>
      <c r="P36" s="568">
        <f t="shared" si="0"/>
        <v>8.3333333333333329E-2</v>
      </c>
      <c r="Q36" s="568">
        <f>IFERROR(ROUND(IF($Q$17="Simples",
INDEX(H36:P36,MATCH($Q$18,$H$18:$P$18,1)),
INDEX(H36:P36,MATCH($Q$17,$H$15:$P$15,0))
),4),"")</f>
        <v>8.3299999999999999E-2</v>
      </c>
      <c r="R36" s="527"/>
    </row>
    <row r="37" spans="1:18" ht="15" customHeight="1">
      <c r="A37" s="497"/>
      <c r="B37" s="566" t="s">
        <v>1</v>
      </c>
      <c r="C37" s="567" t="s">
        <v>21</v>
      </c>
      <c r="D37" s="543" t="s">
        <v>165</v>
      </c>
      <c r="E37" s="544" t="s">
        <v>510</v>
      </c>
      <c r="F37" s="544" t="s">
        <v>511</v>
      </c>
      <c r="H37" s="568">
        <f xml:space="preserve"> (1/12) +( 1/3)/12</f>
        <v>0.1111111111111111</v>
      </c>
      <c r="I37" s="568">
        <f t="shared" ref="I37:P37" si="1" xml:space="preserve"> (1/12) +( 1/3)/12</f>
        <v>0.1111111111111111</v>
      </c>
      <c r="J37" s="568">
        <f t="shared" si="1"/>
        <v>0.1111111111111111</v>
      </c>
      <c r="K37" s="568">
        <f t="shared" si="1"/>
        <v>0.1111111111111111</v>
      </c>
      <c r="L37" s="568">
        <f t="shared" si="1"/>
        <v>0.1111111111111111</v>
      </c>
      <c r="M37" s="568">
        <f t="shared" si="1"/>
        <v>0.1111111111111111</v>
      </c>
      <c r="N37" s="568">
        <f t="shared" si="1"/>
        <v>0.1111111111111111</v>
      </c>
      <c r="O37" s="568">
        <f t="shared" si="1"/>
        <v>0.1111111111111111</v>
      </c>
      <c r="P37" s="568">
        <f t="shared" si="1"/>
        <v>0.1111111111111111</v>
      </c>
      <c r="Q37" s="568">
        <f t="shared" ref="Q37:Q38" si="2">IFERROR(ROUND(IF($Q$17="Simples",
INDEX(H37:P37,MATCH($Q$18,$H$18:$P$18,1)),
INDEX(H37:P37,MATCH($Q$17,$H$15:$P$15,0))
),4),"")</f>
        <v>0.1111</v>
      </c>
      <c r="R37" s="527"/>
    </row>
    <row r="38" spans="1:18" ht="15" customHeight="1">
      <c r="A38" s="497"/>
      <c r="B38" s="566" t="s">
        <v>0</v>
      </c>
      <c r="C38" s="567" t="s">
        <v>80</v>
      </c>
      <c r="D38" s="543" t="s">
        <v>166</v>
      </c>
      <c r="E38" s="544"/>
      <c r="F38" s="544" t="s">
        <v>512</v>
      </c>
      <c r="H38" s="568">
        <f t="shared" ref="H38:P38" si="3">(H36+H37)*H51</f>
        <v>7.1555555555555567E-2</v>
      </c>
      <c r="I38" s="568">
        <f t="shared" si="3"/>
        <v>7.1555555555555567E-2</v>
      </c>
      <c r="J38" s="568">
        <f>(J36+J37)*J51</f>
        <v>6.0277777777777777E-2</v>
      </c>
      <c r="K38" s="568">
        <f t="shared" si="3"/>
        <v>6.0277777777777777E-2</v>
      </c>
      <c r="L38" s="568">
        <f t="shared" si="3"/>
        <v>6.0277777777777777E-2</v>
      </c>
      <c r="M38" s="568">
        <f t="shared" si="3"/>
        <v>6.0277777777777777E-2</v>
      </c>
      <c r="N38" s="568">
        <f t="shared" si="3"/>
        <v>6.0277777777777777E-2</v>
      </c>
      <c r="O38" s="568">
        <f t="shared" si="3"/>
        <v>6.0277777777777777E-2</v>
      </c>
      <c r="P38" s="568">
        <f t="shared" si="3"/>
        <v>6.0277777777777777E-2</v>
      </c>
      <c r="Q38" s="568">
        <f t="shared" si="2"/>
        <v>7.1599999999999997E-2</v>
      </c>
      <c r="R38" s="527"/>
    </row>
    <row r="39" spans="1:18" ht="3.75" customHeight="1">
      <c r="B39" s="569"/>
      <c r="C39" s="570"/>
      <c r="D39" s="570"/>
      <c r="E39" s="570"/>
      <c r="F39" s="570"/>
      <c r="H39" s="571"/>
      <c r="I39" s="571"/>
      <c r="J39" s="571"/>
      <c r="K39" s="571"/>
      <c r="L39" s="571"/>
      <c r="M39" s="571"/>
      <c r="N39" s="571"/>
      <c r="O39" s="571"/>
      <c r="P39" s="571"/>
      <c r="Q39" s="571"/>
    </row>
    <row r="40" spans="1:18" s="565" customFormat="1" ht="15" customHeight="1">
      <c r="A40" s="558"/>
      <c r="B40" s="559"/>
      <c r="C40" s="560" t="s">
        <v>223</v>
      </c>
      <c r="D40" s="560"/>
      <c r="E40" s="560"/>
      <c r="F40" s="561"/>
      <c r="G40" s="3"/>
      <c r="H40" s="559"/>
      <c r="I40" s="562"/>
      <c r="J40" s="562"/>
      <c r="K40" s="562"/>
      <c r="L40" s="562"/>
      <c r="M40" s="562"/>
      <c r="N40" s="562"/>
      <c r="O40" s="562"/>
      <c r="P40" s="562"/>
      <c r="Q40" s="563"/>
      <c r="R40" s="564"/>
    </row>
    <row r="41" spans="1:18" ht="15" customHeight="1">
      <c r="A41" s="497"/>
      <c r="B41" s="505" t="s">
        <v>2</v>
      </c>
      <c r="C41" s="506" t="s">
        <v>49</v>
      </c>
      <c r="D41" s="543"/>
      <c r="E41" s="544" t="s">
        <v>513</v>
      </c>
      <c r="F41" s="544" t="s">
        <v>514</v>
      </c>
      <c r="H41" s="572">
        <v>0.2</v>
      </c>
      <c r="I41" s="572">
        <v>0.2</v>
      </c>
      <c r="J41" s="572">
        <v>0.2</v>
      </c>
      <c r="K41" s="572">
        <v>0.2</v>
      </c>
      <c r="L41" s="572">
        <v>0.2</v>
      </c>
      <c r="M41" s="572">
        <v>0.2</v>
      </c>
      <c r="N41" s="572">
        <v>0.2</v>
      </c>
      <c r="O41" s="572">
        <v>0.2</v>
      </c>
      <c r="P41" s="572">
        <v>0.2</v>
      </c>
      <c r="Q41" s="572">
        <f t="shared" ref="Q41:Q51" si="4">IFERROR(ROUND(IF($Q$17="Simples",
INDEX(H41:P41,MATCH($Q$18,$H$18:$P$18,1)),
INDEX(H41:P41,MATCH($Q$17,$H$15:$P$15,0))
),4),"")</f>
        <v>0.2</v>
      </c>
      <c r="R41" s="527"/>
    </row>
    <row r="42" spans="1:18" ht="15" customHeight="1">
      <c r="A42" s="497"/>
      <c r="B42" s="573" t="s">
        <v>1</v>
      </c>
      <c r="C42" s="574" t="s">
        <v>50</v>
      </c>
      <c r="D42" s="543"/>
      <c r="E42" s="544" t="s">
        <v>611</v>
      </c>
      <c r="F42" s="544" t="s">
        <v>515</v>
      </c>
      <c r="H42" s="572">
        <v>1.4999999999999999E-2</v>
      </c>
      <c r="I42" s="572">
        <v>1.4999999999999999E-2</v>
      </c>
      <c r="J42" s="572"/>
      <c r="K42" s="572"/>
      <c r="L42" s="572"/>
      <c r="M42" s="572"/>
      <c r="N42" s="572"/>
      <c r="O42" s="572"/>
      <c r="P42" s="572"/>
      <c r="Q42" s="572">
        <f t="shared" si="4"/>
        <v>1.4999999999999999E-2</v>
      </c>
      <c r="R42" s="527"/>
    </row>
    <row r="43" spans="1:18" ht="15" customHeight="1">
      <c r="A43" s="497"/>
      <c r="B43" s="573" t="s">
        <v>0</v>
      </c>
      <c r="C43" s="506" t="s">
        <v>51</v>
      </c>
      <c r="D43" s="543"/>
      <c r="E43" s="544" t="s">
        <v>612</v>
      </c>
      <c r="F43" s="544" t="s">
        <v>515</v>
      </c>
      <c r="H43" s="572">
        <v>0.01</v>
      </c>
      <c r="I43" s="572">
        <v>0.01</v>
      </c>
      <c r="J43" s="572"/>
      <c r="K43" s="572"/>
      <c r="L43" s="572"/>
      <c r="M43" s="572"/>
      <c r="N43" s="572"/>
      <c r="O43" s="572"/>
      <c r="P43" s="572"/>
      <c r="Q43" s="572">
        <f t="shared" si="4"/>
        <v>0.01</v>
      </c>
      <c r="R43" s="527"/>
    </row>
    <row r="44" spans="1:18" ht="15" customHeight="1">
      <c r="A44" s="497"/>
      <c r="B44" s="505" t="s">
        <v>3</v>
      </c>
      <c r="C44" s="574" t="s">
        <v>52</v>
      </c>
      <c r="D44" s="543"/>
      <c r="E44" s="544" t="s">
        <v>613</v>
      </c>
      <c r="F44" s="544" t="s">
        <v>515</v>
      </c>
      <c r="H44" s="572">
        <v>2E-3</v>
      </c>
      <c r="I44" s="572">
        <v>2E-3</v>
      </c>
      <c r="J44" s="572"/>
      <c r="K44" s="572"/>
      <c r="L44" s="572"/>
      <c r="M44" s="572"/>
      <c r="N44" s="572"/>
      <c r="O44" s="572"/>
      <c r="P44" s="572"/>
      <c r="Q44" s="572">
        <f t="shared" si="4"/>
        <v>2E-3</v>
      </c>
      <c r="R44" s="527"/>
    </row>
    <row r="45" spans="1:18" ht="15" customHeight="1">
      <c r="A45" s="497"/>
      <c r="B45" s="573" t="s">
        <v>7</v>
      </c>
      <c r="C45" s="506" t="s">
        <v>53</v>
      </c>
      <c r="D45" s="543"/>
      <c r="E45" s="544" t="s">
        <v>614</v>
      </c>
      <c r="F45" s="544" t="s">
        <v>515</v>
      </c>
      <c r="H45" s="572">
        <v>2.5000000000000001E-2</v>
      </c>
      <c r="I45" s="572">
        <v>2.5000000000000001E-2</v>
      </c>
      <c r="J45" s="572"/>
      <c r="K45" s="572"/>
      <c r="L45" s="572"/>
      <c r="M45" s="572"/>
      <c r="N45" s="572"/>
      <c r="O45" s="572"/>
      <c r="P45" s="572"/>
      <c r="Q45" s="572">
        <f t="shared" si="4"/>
        <v>2.5000000000000001E-2</v>
      </c>
      <c r="R45" s="527"/>
    </row>
    <row r="46" spans="1:18" ht="15" customHeight="1">
      <c r="A46" s="497"/>
      <c r="B46" s="573" t="s">
        <v>6</v>
      </c>
      <c r="C46" s="574" t="s">
        <v>54</v>
      </c>
      <c r="D46" s="543"/>
      <c r="E46" s="544" t="s">
        <v>516</v>
      </c>
      <c r="F46" s="544"/>
      <c r="H46" s="572">
        <v>0.08</v>
      </c>
      <c r="I46" s="572">
        <v>0.08</v>
      </c>
      <c r="J46" s="572">
        <v>0.08</v>
      </c>
      <c r="K46" s="572">
        <v>0.08</v>
      </c>
      <c r="L46" s="572">
        <v>0.08</v>
      </c>
      <c r="M46" s="572">
        <v>0.08</v>
      </c>
      <c r="N46" s="572">
        <v>0.08</v>
      </c>
      <c r="O46" s="572">
        <v>0.08</v>
      </c>
      <c r="P46" s="572">
        <v>0.08</v>
      </c>
      <c r="Q46" s="572">
        <f t="shared" si="4"/>
        <v>0.08</v>
      </c>
      <c r="R46" s="527"/>
    </row>
    <row r="47" spans="1:18" ht="15" customHeight="1">
      <c r="A47" s="497"/>
      <c r="B47" s="896" t="s">
        <v>5</v>
      </c>
      <c r="C47" s="506" t="s">
        <v>517</v>
      </c>
      <c r="D47" s="543" t="s">
        <v>278</v>
      </c>
      <c r="E47" s="544" t="s">
        <v>518</v>
      </c>
      <c r="F47" s="544" t="s">
        <v>615</v>
      </c>
      <c r="H47" s="572">
        <f>ROUND(H48*H49,2)</f>
        <v>0.03</v>
      </c>
      <c r="I47" s="572">
        <f t="shared" ref="I47:P47" si="5">ROUND(I48*I49,2)</f>
        <v>0.03</v>
      </c>
      <c r="J47" s="572">
        <f>ROUND(J48*J49,2)</f>
        <v>0.03</v>
      </c>
      <c r="K47" s="572">
        <f t="shared" si="5"/>
        <v>0.03</v>
      </c>
      <c r="L47" s="572">
        <f t="shared" si="5"/>
        <v>0.03</v>
      </c>
      <c r="M47" s="572">
        <f t="shared" si="5"/>
        <v>0.03</v>
      </c>
      <c r="N47" s="572">
        <f t="shared" si="5"/>
        <v>0.03</v>
      </c>
      <c r="O47" s="572">
        <f t="shared" si="5"/>
        <v>0.03</v>
      </c>
      <c r="P47" s="572">
        <f t="shared" si="5"/>
        <v>0.03</v>
      </c>
      <c r="Q47" s="572">
        <f t="shared" si="4"/>
        <v>0.03</v>
      </c>
      <c r="R47" s="527"/>
    </row>
    <row r="48" spans="1:18" ht="15" customHeight="1">
      <c r="A48" s="497"/>
      <c r="B48" s="896"/>
      <c r="C48" s="575" t="s">
        <v>47</v>
      </c>
      <c r="D48" s="576"/>
      <c r="E48" s="576" t="s">
        <v>519</v>
      </c>
      <c r="F48" s="576"/>
      <c r="H48" s="572">
        <v>0.03</v>
      </c>
      <c r="I48" s="572">
        <f>H48</f>
        <v>0.03</v>
      </c>
      <c r="J48" s="572">
        <f>I48</f>
        <v>0.03</v>
      </c>
      <c r="K48" s="572">
        <f>I48</f>
        <v>0.03</v>
      </c>
      <c r="L48" s="572">
        <f t="shared" ref="I48:P49" si="6">K48</f>
        <v>0.03</v>
      </c>
      <c r="M48" s="572">
        <f t="shared" si="6"/>
        <v>0.03</v>
      </c>
      <c r="N48" s="572">
        <f t="shared" si="6"/>
        <v>0.03</v>
      </c>
      <c r="O48" s="572">
        <f t="shared" si="6"/>
        <v>0.03</v>
      </c>
      <c r="P48" s="572">
        <f t="shared" si="6"/>
        <v>0.03</v>
      </c>
      <c r="Q48" s="572">
        <f t="shared" si="4"/>
        <v>0.03</v>
      </c>
      <c r="R48" s="527"/>
    </row>
    <row r="49" spans="1:18" ht="15" customHeight="1">
      <c r="A49" s="497"/>
      <c r="B49" s="896"/>
      <c r="C49" s="575" t="s">
        <v>42</v>
      </c>
      <c r="D49" s="577"/>
      <c r="E49" s="577" t="s">
        <v>520</v>
      </c>
      <c r="F49" s="577" t="s">
        <v>521</v>
      </c>
      <c r="H49" s="578">
        <v>1</v>
      </c>
      <c r="I49" s="578">
        <f t="shared" si="6"/>
        <v>1</v>
      </c>
      <c r="J49" s="578">
        <f t="shared" si="6"/>
        <v>1</v>
      </c>
      <c r="K49" s="578">
        <f>I49</f>
        <v>1</v>
      </c>
      <c r="L49" s="578">
        <f t="shared" si="6"/>
        <v>1</v>
      </c>
      <c r="M49" s="578">
        <f t="shared" si="6"/>
        <v>1</v>
      </c>
      <c r="N49" s="578">
        <f t="shared" si="6"/>
        <v>1</v>
      </c>
      <c r="O49" s="578">
        <f t="shared" si="6"/>
        <v>1</v>
      </c>
      <c r="P49" s="578">
        <f t="shared" si="6"/>
        <v>1</v>
      </c>
      <c r="Q49" s="578">
        <f t="shared" si="4"/>
        <v>1</v>
      </c>
      <c r="R49" s="527"/>
    </row>
    <row r="50" spans="1:18" ht="15" customHeight="1">
      <c r="A50" s="497"/>
      <c r="B50" s="573" t="s">
        <v>4</v>
      </c>
      <c r="C50" s="574" t="s">
        <v>55</v>
      </c>
      <c r="D50" s="543"/>
      <c r="E50" s="544" t="s">
        <v>97</v>
      </c>
      <c r="F50" s="544" t="s">
        <v>515</v>
      </c>
      <c r="H50" s="572">
        <v>6.0000000000000001E-3</v>
      </c>
      <c r="I50" s="572">
        <v>6.0000000000000001E-3</v>
      </c>
      <c r="J50" s="572"/>
      <c r="K50" s="572"/>
      <c r="L50" s="572"/>
      <c r="M50" s="572"/>
      <c r="N50" s="572"/>
      <c r="O50" s="572"/>
      <c r="P50" s="572"/>
      <c r="Q50" s="572">
        <f t="shared" si="4"/>
        <v>6.0000000000000001E-3</v>
      </c>
      <c r="R50" s="527"/>
    </row>
    <row r="51" spans="1:18" ht="15" customHeight="1">
      <c r="A51" s="497"/>
      <c r="B51" s="559"/>
      <c r="C51" s="579"/>
      <c r="D51" s="560"/>
      <c r="E51" s="560"/>
      <c r="F51" s="561"/>
      <c r="H51" s="580">
        <f>SUM(H41:H50)-H48-H49</f>
        <v>0.3680000000000001</v>
      </c>
      <c r="I51" s="580">
        <f>SUM(I41:I50)-I48-I49</f>
        <v>0.3680000000000001</v>
      </c>
      <c r="J51" s="580">
        <f>SUM(J41:J50)-J48-J49</f>
        <v>0.31000000000000005</v>
      </c>
      <c r="K51" s="580">
        <f>SUM(K41:K47)+K50</f>
        <v>0.31000000000000005</v>
      </c>
      <c r="L51" s="580">
        <f>SUM(L41:L50)-L48-L49</f>
        <v>0.31000000000000005</v>
      </c>
      <c r="M51" s="580">
        <f>SUM(M41:M50)-M48-M49</f>
        <v>0.31000000000000005</v>
      </c>
      <c r="N51" s="580">
        <f>SUM(N41:N50)-N48-N49</f>
        <v>0.31000000000000005</v>
      </c>
      <c r="O51" s="580">
        <f>SUM(O41:O50)-O48-O49</f>
        <v>0.31000000000000005</v>
      </c>
      <c r="P51" s="580">
        <f>SUM(P41:P50)-P48-P49</f>
        <v>0.31000000000000005</v>
      </c>
      <c r="Q51" s="580">
        <f t="shared" si="4"/>
        <v>0.36799999999999999</v>
      </c>
      <c r="R51" s="527"/>
    </row>
    <row r="52" spans="1:18" ht="3.75" customHeight="1">
      <c r="H52" s="581"/>
      <c r="I52" s="581"/>
      <c r="J52" s="581"/>
      <c r="K52" s="581"/>
      <c r="L52" s="582"/>
      <c r="M52" s="581"/>
      <c r="N52" s="581"/>
      <c r="O52" s="581"/>
      <c r="P52" s="581"/>
      <c r="Q52" s="581"/>
    </row>
    <row r="53" spans="1:18" s="565" customFormat="1" ht="15" customHeight="1">
      <c r="B53" s="559"/>
      <c r="C53" s="560" t="s">
        <v>126</v>
      </c>
      <c r="D53" s="560"/>
      <c r="E53" s="560"/>
      <c r="F53" s="561"/>
      <c r="G53" s="3"/>
      <c r="H53" s="559"/>
      <c r="I53" s="562"/>
      <c r="J53" s="562"/>
      <c r="K53" s="562"/>
      <c r="L53" s="562"/>
      <c r="M53" s="562"/>
      <c r="N53" s="562"/>
      <c r="O53" s="562"/>
      <c r="P53" s="562"/>
      <c r="Q53" s="563"/>
    </row>
    <row r="54" spans="1:18" ht="15" customHeight="1">
      <c r="B54" s="541" t="s">
        <v>2</v>
      </c>
      <c r="C54" s="542" t="s">
        <v>86</v>
      </c>
      <c r="D54" s="543" t="s">
        <v>158</v>
      </c>
      <c r="E54" s="544" t="s">
        <v>731</v>
      </c>
      <c r="F54" s="544" t="s">
        <v>578</v>
      </c>
      <c r="H54" s="572"/>
      <c r="I54" s="572"/>
      <c r="J54" s="572"/>
      <c r="K54" s="572"/>
      <c r="L54" s="572"/>
      <c r="M54" s="572"/>
      <c r="N54" s="572"/>
      <c r="O54" s="572"/>
      <c r="P54" s="572"/>
      <c r="Q54" s="572"/>
    </row>
    <row r="55" spans="1:18" ht="15" customHeight="1">
      <c r="B55" s="541" t="s">
        <v>1</v>
      </c>
      <c r="C55" s="542" t="s">
        <v>23</v>
      </c>
      <c r="D55" s="543" t="s">
        <v>156</v>
      </c>
      <c r="E55" s="544" t="s">
        <v>522</v>
      </c>
      <c r="F55" s="544" t="s">
        <v>577</v>
      </c>
      <c r="H55" s="572"/>
      <c r="I55" s="572"/>
      <c r="J55" s="572"/>
      <c r="K55" s="572"/>
      <c r="L55" s="572"/>
      <c r="M55" s="572"/>
      <c r="N55" s="572"/>
      <c r="O55" s="572"/>
      <c r="P55" s="572"/>
      <c r="Q55" s="572"/>
    </row>
    <row r="56" spans="1:18" ht="15" customHeight="1">
      <c r="B56" s="541" t="s">
        <v>0</v>
      </c>
      <c r="C56" s="542" t="s">
        <v>25</v>
      </c>
      <c r="D56" s="543" t="s">
        <v>159</v>
      </c>
      <c r="E56" s="544" t="s">
        <v>523</v>
      </c>
      <c r="F56" s="544" t="s">
        <v>578</v>
      </c>
      <c r="H56" s="572"/>
      <c r="I56" s="572"/>
      <c r="J56" s="572"/>
      <c r="K56" s="572"/>
      <c r="L56" s="572"/>
      <c r="M56" s="572"/>
      <c r="N56" s="572"/>
      <c r="O56" s="572"/>
      <c r="P56" s="572"/>
      <c r="Q56" s="572"/>
    </row>
    <row r="57" spans="1:18" ht="15" customHeight="1">
      <c r="B57" s="541" t="s">
        <v>3</v>
      </c>
      <c r="C57" s="542" t="s">
        <v>27</v>
      </c>
      <c r="D57" s="543" t="s">
        <v>157</v>
      </c>
      <c r="E57" s="544" t="s">
        <v>523</v>
      </c>
      <c r="F57" s="544" t="s">
        <v>579</v>
      </c>
      <c r="H57" s="572"/>
      <c r="I57" s="572"/>
      <c r="J57" s="572"/>
      <c r="K57" s="572"/>
      <c r="L57" s="572"/>
      <c r="M57" s="572"/>
      <c r="N57" s="572"/>
      <c r="O57" s="572"/>
      <c r="P57" s="572"/>
      <c r="Q57" s="572"/>
    </row>
    <row r="58" spans="1:18" ht="15" customHeight="1">
      <c r="B58" s="541" t="s">
        <v>7</v>
      </c>
      <c r="C58" s="542" t="s">
        <v>28</v>
      </c>
      <c r="D58" s="543" t="s">
        <v>157</v>
      </c>
      <c r="E58" s="544"/>
      <c r="F58" s="544" t="s">
        <v>579</v>
      </c>
      <c r="H58" s="572"/>
      <c r="I58" s="572"/>
      <c r="J58" s="572"/>
      <c r="K58" s="572"/>
      <c r="L58" s="572"/>
      <c r="M58" s="572"/>
      <c r="N58" s="572"/>
      <c r="O58" s="572"/>
      <c r="P58" s="572"/>
      <c r="Q58" s="572"/>
    </row>
    <row r="59" spans="1:18" ht="15" customHeight="1">
      <c r="B59" s="541" t="s">
        <v>6</v>
      </c>
      <c r="C59" s="542" t="s">
        <v>29</v>
      </c>
      <c r="D59" s="543" t="s">
        <v>159</v>
      </c>
      <c r="E59" s="544"/>
      <c r="F59" s="544" t="s">
        <v>578</v>
      </c>
      <c r="H59" s="572"/>
      <c r="I59" s="572"/>
      <c r="J59" s="572"/>
      <c r="K59" s="572"/>
      <c r="L59" s="572"/>
      <c r="M59" s="572"/>
      <c r="N59" s="572"/>
      <c r="O59" s="572"/>
      <c r="P59" s="572"/>
      <c r="Q59" s="572"/>
    </row>
    <row r="60" spans="1:18" ht="15" customHeight="1">
      <c r="B60" s="541" t="s">
        <v>5</v>
      </c>
      <c r="C60" s="542" t="s">
        <v>30</v>
      </c>
      <c r="D60" s="543" t="s">
        <v>157</v>
      </c>
      <c r="E60" s="544"/>
      <c r="F60" s="544" t="s">
        <v>579</v>
      </c>
      <c r="H60" s="572"/>
      <c r="I60" s="572"/>
      <c r="J60" s="572"/>
      <c r="K60" s="572"/>
      <c r="L60" s="572"/>
      <c r="M60" s="572"/>
      <c r="N60" s="572"/>
      <c r="O60" s="572"/>
      <c r="P60" s="572"/>
      <c r="Q60" s="572"/>
    </row>
    <row r="61" spans="1:18" ht="15" customHeight="1">
      <c r="B61" s="541" t="s">
        <v>4</v>
      </c>
      <c r="C61" s="542" t="s">
        <v>114</v>
      </c>
      <c r="D61" s="543" t="s">
        <v>157</v>
      </c>
      <c r="E61" s="544"/>
      <c r="F61" s="544" t="s">
        <v>579</v>
      </c>
      <c r="H61" s="572"/>
      <c r="I61" s="572"/>
      <c r="J61" s="572"/>
      <c r="K61" s="572"/>
      <c r="L61" s="572"/>
      <c r="M61" s="572"/>
      <c r="N61" s="572"/>
      <c r="O61" s="572"/>
      <c r="P61" s="572"/>
      <c r="Q61" s="572"/>
    </row>
    <row r="62" spans="1:18" ht="15" customHeight="1">
      <c r="H62" s="581"/>
      <c r="I62" s="581"/>
      <c r="J62" s="581"/>
      <c r="K62" s="581"/>
      <c r="L62" s="582"/>
      <c r="M62" s="581"/>
      <c r="N62" s="581"/>
      <c r="O62" s="581"/>
      <c r="P62" s="581"/>
      <c r="Q62" s="581"/>
    </row>
    <row r="63" spans="1:18" s="3" customFormat="1" ht="15" customHeight="1">
      <c r="B63" s="498"/>
      <c r="C63" s="538" t="s">
        <v>127</v>
      </c>
      <c r="D63" s="538"/>
      <c r="E63" s="538"/>
      <c r="F63" s="500"/>
      <c r="H63" s="498"/>
      <c r="I63" s="539"/>
      <c r="J63" s="539"/>
      <c r="K63" s="539"/>
      <c r="L63" s="539"/>
      <c r="M63" s="539"/>
      <c r="N63" s="539"/>
      <c r="O63" s="539"/>
      <c r="P63" s="539"/>
      <c r="Q63" s="540"/>
    </row>
    <row r="64" spans="1:18" ht="3.75" customHeight="1">
      <c r="B64" s="583"/>
      <c r="H64" s="584"/>
      <c r="I64" s="584"/>
      <c r="J64" s="584"/>
      <c r="K64" s="584"/>
      <c r="L64" s="584"/>
      <c r="M64" s="584"/>
      <c r="N64" s="584"/>
      <c r="O64" s="584"/>
      <c r="P64" s="584"/>
      <c r="Q64" s="584"/>
    </row>
    <row r="65" spans="1:18" s="565" customFormat="1" ht="15" customHeight="1">
      <c r="B65" s="559"/>
      <c r="C65" s="560" t="s">
        <v>198</v>
      </c>
      <c r="D65" s="560"/>
      <c r="E65" s="560"/>
      <c r="F65" s="561"/>
      <c r="G65" s="3"/>
      <c r="H65" s="559"/>
      <c r="I65" s="562"/>
      <c r="J65" s="562"/>
      <c r="K65" s="562"/>
      <c r="L65" s="562"/>
      <c r="M65" s="562"/>
      <c r="N65" s="562"/>
      <c r="O65" s="562"/>
      <c r="P65" s="562"/>
      <c r="Q65" s="563"/>
    </row>
    <row r="66" spans="1:18" ht="15" customHeight="1">
      <c r="A66" s="497"/>
      <c r="B66" s="505"/>
      <c r="C66" s="585" t="s">
        <v>199</v>
      </c>
      <c r="D66" s="586"/>
      <c r="E66" s="586"/>
      <c r="F66" s="586"/>
      <c r="H66" s="587">
        <v>0.05</v>
      </c>
      <c r="I66" s="587">
        <f>H66</f>
        <v>0.05</v>
      </c>
      <c r="J66" s="587">
        <f>I66</f>
        <v>0.05</v>
      </c>
      <c r="K66" s="587">
        <f t="shared" ref="K66:K71" si="7">I66</f>
        <v>0.05</v>
      </c>
      <c r="L66" s="587">
        <f>K66</f>
        <v>0.05</v>
      </c>
      <c r="M66" s="587">
        <f>L66</f>
        <v>0.05</v>
      </c>
      <c r="N66" s="587">
        <f>M66</f>
        <v>0.05</v>
      </c>
      <c r="O66" s="587">
        <f>N66</f>
        <v>0.05</v>
      </c>
      <c r="P66" s="587">
        <f>O66</f>
        <v>0.05</v>
      </c>
      <c r="Q66" s="587">
        <f t="shared" ref="Q66:Q71" si="8">IFERROR(ROUND(IF($Q$17="Simples",
INDEX(H66:P66,MATCH($Q$18,$H$18:$P$18,1)),
INDEX(H66:P66,MATCH($Q$17,$H$15:$P$15,0))
),4),"")</f>
        <v>0.05</v>
      </c>
      <c r="R66" s="527"/>
    </row>
    <row r="67" spans="1:18" ht="15" customHeight="1">
      <c r="A67" s="497"/>
      <c r="B67" s="505"/>
      <c r="C67" s="585" t="s">
        <v>54</v>
      </c>
      <c r="D67" s="586"/>
      <c r="E67" s="586"/>
      <c r="F67" s="586"/>
      <c r="H67" s="587">
        <v>0.08</v>
      </c>
      <c r="I67" s="587">
        <f t="shared" ref="I67:P71" si="9">H67</f>
        <v>0.08</v>
      </c>
      <c r="J67" s="587">
        <f t="shared" si="9"/>
        <v>0.08</v>
      </c>
      <c r="K67" s="587">
        <f t="shared" si="7"/>
        <v>0.08</v>
      </c>
      <c r="L67" s="587">
        <f t="shared" si="9"/>
        <v>0.08</v>
      </c>
      <c r="M67" s="587">
        <f t="shared" si="9"/>
        <v>0.08</v>
      </c>
      <c r="N67" s="587">
        <f t="shared" si="9"/>
        <v>0.08</v>
      </c>
      <c r="O67" s="587">
        <f t="shared" si="9"/>
        <v>0.08</v>
      </c>
      <c r="P67" s="587">
        <f t="shared" si="9"/>
        <v>0.08</v>
      </c>
      <c r="Q67" s="587">
        <f t="shared" si="8"/>
        <v>0.08</v>
      </c>
      <c r="R67" s="527"/>
    </row>
    <row r="68" spans="1:18" ht="15" customHeight="1">
      <c r="A68" s="497"/>
      <c r="B68" s="505"/>
      <c r="C68" s="585" t="s">
        <v>200</v>
      </c>
      <c r="D68" s="586"/>
      <c r="E68" s="586"/>
      <c r="F68" s="586"/>
      <c r="H68" s="587">
        <v>0.4</v>
      </c>
      <c r="I68" s="587">
        <f t="shared" si="9"/>
        <v>0.4</v>
      </c>
      <c r="J68" s="587">
        <f t="shared" si="9"/>
        <v>0.4</v>
      </c>
      <c r="K68" s="587">
        <f t="shared" si="7"/>
        <v>0.4</v>
      </c>
      <c r="L68" s="587">
        <f t="shared" si="9"/>
        <v>0.4</v>
      </c>
      <c r="M68" s="587">
        <f t="shared" si="9"/>
        <v>0.4</v>
      </c>
      <c r="N68" s="587">
        <f t="shared" si="9"/>
        <v>0.4</v>
      </c>
      <c r="O68" s="587">
        <f t="shared" si="9"/>
        <v>0.4</v>
      </c>
      <c r="P68" s="587">
        <f t="shared" si="9"/>
        <v>0.4</v>
      </c>
      <c r="Q68" s="587">
        <f t="shared" si="8"/>
        <v>0.4</v>
      </c>
      <c r="R68" s="527"/>
    </row>
    <row r="69" spans="1:18" ht="15" customHeight="1">
      <c r="A69" s="497"/>
      <c r="B69" s="505"/>
      <c r="C69" s="585" t="s">
        <v>201</v>
      </c>
      <c r="D69" s="586"/>
      <c r="E69" s="586"/>
      <c r="F69" s="586"/>
      <c r="H69" s="587">
        <v>0.02</v>
      </c>
      <c r="I69" s="587">
        <f t="shared" si="9"/>
        <v>0.02</v>
      </c>
      <c r="J69" s="587">
        <f t="shared" si="9"/>
        <v>0.02</v>
      </c>
      <c r="K69" s="587">
        <f t="shared" si="7"/>
        <v>0.02</v>
      </c>
      <c r="L69" s="587">
        <f t="shared" si="9"/>
        <v>0.02</v>
      </c>
      <c r="M69" s="587">
        <f t="shared" si="9"/>
        <v>0.02</v>
      </c>
      <c r="N69" s="587">
        <f t="shared" si="9"/>
        <v>0.02</v>
      </c>
      <c r="O69" s="587">
        <f t="shared" si="9"/>
        <v>0.02</v>
      </c>
      <c r="P69" s="587">
        <f t="shared" si="9"/>
        <v>0.02</v>
      </c>
      <c r="Q69" s="587">
        <f t="shared" si="8"/>
        <v>0.02</v>
      </c>
      <c r="R69" s="527"/>
    </row>
    <row r="70" spans="1:18" ht="15" customHeight="1">
      <c r="A70" s="497"/>
      <c r="B70" s="505"/>
      <c r="C70" s="585" t="s">
        <v>202</v>
      </c>
      <c r="D70" s="586"/>
      <c r="E70" s="586"/>
      <c r="F70" s="586"/>
      <c r="H70" s="587">
        <v>1</v>
      </c>
      <c r="I70" s="587">
        <f t="shared" si="9"/>
        <v>1</v>
      </c>
      <c r="J70" s="587">
        <f t="shared" si="9"/>
        <v>1</v>
      </c>
      <c r="K70" s="587">
        <f t="shared" si="7"/>
        <v>1</v>
      </c>
      <c r="L70" s="587">
        <f t="shared" si="9"/>
        <v>1</v>
      </c>
      <c r="M70" s="587">
        <f t="shared" si="9"/>
        <v>1</v>
      </c>
      <c r="N70" s="587">
        <f t="shared" si="9"/>
        <v>1</v>
      </c>
      <c r="O70" s="587">
        <f t="shared" si="9"/>
        <v>1</v>
      </c>
      <c r="P70" s="587">
        <f t="shared" si="9"/>
        <v>1</v>
      </c>
      <c r="Q70" s="587">
        <f t="shared" si="8"/>
        <v>1</v>
      </c>
      <c r="R70" s="527"/>
    </row>
    <row r="71" spans="1:18" ht="15" customHeight="1">
      <c r="A71" s="497"/>
      <c r="B71" s="505"/>
      <c r="C71" s="585" t="s">
        <v>203</v>
      </c>
      <c r="D71" s="588"/>
      <c r="E71" s="588"/>
      <c r="F71" s="588"/>
      <c r="H71" s="589">
        <v>7</v>
      </c>
      <c r="I71" s="589">
        <f t="shared" si="9"/>
        <v>7</v>
      </c>
      <c r="J71" s="589">
        <f t="shared" si="9"/>
        <v>7</v>
      </c>
      <c r="K71" s="589">
        <f t="shared" si="7"/>
        <v>7</v>
      </c>
      <c r="L71" s="589">
        <f t="shared" si="9"/>
        <v>7</v>
      </c>
      <c r="M71" s="589">
        <f t="shared" si="9"/>
        <v>7</v>
      </c>
      <c r="N71" s="589">
        <f t="shared" si="9"/>
        <v>7</v>
      </c>
      <c r="O71" s="589">
        <f t="shared" si="9"/>
        <v>7</v>
      </c>
      <c r="P71" s="589">
        <f t="shared" si="9"/>
        <v>7</v>
      </c>
      <c r="Q71" s="589">
        <f t="shared" si="8"/>
        <v>7</v>
      </c>
      <c r="R71" s="527"/>
    </row>
    <row r="72" spans="1:18" ht="3.75" customHeight="1">
      <c r="B72" s="590"/>
      <c r="C72" s="591"/>
      <c r="D72" s="590"/>
      <c r="E72" s="590"/>
      <c r="F72" s="590"/>
      <c r="H72" s="592"/>
      <c r="I72" s="592"/>
      <c r="J72" s="592"/>
      <c r="K72" s="592"/>
      <c r="L72" s="592"/>
      <c r="M72" s="592"/>
      <c r="N72" s="592"/>
      <c r="O72" s="592"/>
      <c r="P72" s="592"/>
      <c r="Q72" s="592"/>
    </row>
    <row r="73" spans="1:18" s="565" customFormat="1" ht="15" customHeight="1">
      <c r="B73" s="559"/>
      <c r="C73" s="560" t="s">
        <v>314</v>
      </c>
      <c r="D73" s="560"/>
      <c r="E73" s="560"/>
      <c r="F73" s="561"/>
      <c r="G73" s="3"/>
      <c r="H73" s="559"/>
      <c r="I73" s="562"/>
      <c r="J73" s="562"/>
      <c r="K73" s="562"/>
      <c r="L73" s="562"/>
      <c r="M73" s="562"/>
      <c r="N73" s="562"/>
      <c r="O73" s="562"/>
      <c r="P73" s="562"/>
      <c r="Q73" s="563"/>
    </row>
    <row r="74" spans="1:18" ht="15" customHeight="1">
      <c r="A74" s="497"/>
      <c r="B74" s="505" t="s">
        <v>2</v>
      </c>
      <c r="C74" s="506" t="s">
        <v>221</v>
      </c>
      <c r="D74" s="543" t="s">
        <v>163</v>
      </c>
      <c r="E74" s="544" t="s">
        <v>524</v>
      </c>
      <c r="F74" s="544" t="s">
        <v>525</v>
      </c>
      <c r="H74" s="572">
        <f>(($D$5/$D$5)/$D$10)*H66</f>
        <v>4.1666666666666666E-3</v>
      </c>
      <c r="I74" s="572">
        <f t="shared" ref="I74:J79" si="10">H74</f>
        <v>4.1666666666666666E-3</v>
      </c>
      <c r="J74" s="572">
        <f t="shared" si="10"/>
        <v>4.1666666666666666E-3</v>
      </c>
      <c r="K74" s="572">
        <f t="shared" ref="K74:K79" si="11">I74</f>
        <v>4.1666666666666666E-3</v>
      </c>
      <c r="L74" s="572">
        <f t="shared" ref="L74:P79" si="12">K74</f>
        <v>4.1666666666666666E-3</v>
      </c>
      <c r="M74" s="572">
        <f t="shared" si="12"/>
        <v>4.1666666666666666E-3</v>
      </c>
      <c r="N74" s="572">
        <f t="shared" si="12"/>
        <v>4.1666666666666666E-3</v>
      </c>
      <c r="O74" s="572">
        <f t="shared" si="12"/>
        <v>4.1666666666666666E-3</v>
      </c>
      <c r="P74" s="572">
        <f t="shared" si="12"/>
        <v>4.1666666666666666E-3</v>
      </c>
      <c r="Q74" s="572">
        <f t="shared" ref="Q74:Q79" si="13">IFERROR(ROUND(IF($Q$17="Simples",
INDEX(H74:P74,MATCH($Q$18,$H$18:$P$18,1)),
INDEX(H74:P74,MATCH($Q$17,$H$15:$P$15,0))
),4),"")</f>
        <v>4.1999999999999997E-3</v>
      </c>
      <c r="R74" s="527"/>
    </row>
    <row r="75" spans="1:18" ht="15" customHeight="1">
      <c r="A75" s="497"/>
      <c r="B75" s="573" t="s">
        <v>1</v>
      </c>
      <c r="C75" s="506" t="s">
        <v>31</v>
      </c>
      <c r="D75" s="543" t="s">
        <v>160</v>
      </c>
      <c r="E75" s="544" t="s">
        <v>98</v>
      </c>
      <c r="F75" s="544"/>
      <c r="H75" s="572">
        <f>(($D$5/$D$5)/$D$10)*H66*H67</f>
        <v>3.3333333333333332E-4</v>
      </c>
      <c r="I75" s="572">
        <f t="shared" si="10"/>
        <v>3.3333333333333332E-4</v>
      </c>
      <c r="J75" s="572">
        <f t="shared" si="10"/>
        <v>3.3333333333333332E-4</v>
      </c>
      <c r="K75" s="572">
        <f t="shared" si="11"/>
        <v>3.3333333333333332E-4</v>
      </c>
      <c r="L75" s="572">
        <f t="shared" si="12"/>
        <v>3.3333333333333332E-4</v>
      </c>
      <c r="M75" s="572">
        <f t="shared" si="12"/>
        <v>3.3333333333333332E-4</v>
      </c>
      <c r="N75" s="572">
        <f t="shared" si="12"/>
        <v>3.3333333333333332E-4</v>
      </c>
      <c r="O75" s="572">
        <f t="shared" si="12"/>
        <v>3.3333333333333332E-4</v>
      </c>
      <c r="P75" s="572">
        <f t="shared" si="12"/>
        <v>3.3333333333333332E-4</v>
      </c>
      <c r="Q75" s="572">
        <f t="shared" si="13"/>
        <v>2.9999999999999997E-4</v>
      </c>
      <c r="R75" s="527"/>
    </row>
    <row r="76" spans="1:18" ht="15" customHeight="1">
      <c r="A76" s="497"/>
      <c r="B76" s="573" t="s">
        <v>0</v>
      </c>
      <c r="C76" s="506" t="s">
        <v>553</v>
      </c>
      <c r="D76" s="543" t="s">
        <v>161</v>
      </c>
      <c r="E76" s="544" t="s">
        <v>526</v>
      </c>
      <c r="F76" s="544" t="s">
        <v>527</v>
      </c>
      <c r="H76" s="593">
        <f>H74*H67*H68</f>
        <v>1.3333333333333334E-4</v>
      </c>
      <c r="I76" s="572">
        <f t="shared" si="10"/>
        <v>1.3333333333333334E-4</v>
      </c>
      <c r="J76" s="572">
        <f t="shared" si="10"/>
        <v>1.3333333333333334E-4</v>
      </c>
      <c r="K76" s="572">
        <f t="shared" si="11"/>
        <v>1.3333333333333334E-4</v>
      </c>
      <c r="L76" s="572">
        <f t="shared" si="12"/>
        <v>1.3333333333333334E-4</v>
      </c>
      <c r="M76" s="572">
        <f t="shared" si="12"/>
        <v>1.3333333333333334E-4</v>
      </c>
      <c r="N76" s="572">
        <f t="shared" si="12"/>
        <v>1.3333333333333334E-4</v>
      </c>
      <c r="O76" s="572">
        <f t="shared" si="12"/>
        <v>1.3333333333333334E-4</v>
      </c>
      <c r="P76" s="572">
        <f t="shared" si="12"/>
        <v>1.3333333333333334E-4</v>
      </c>
      <c r="Q76" s="572">
        <f t="shared" si="13"/>
        <v>1E-4</v>
      </c>
      <c r="R76" s="527"/>
    </row>
    <row r="77" spans="1:18" ht="15" customHeight="1">
      <c r="A77" s="497"/>
      <c r="B77" s="505" t="s">
        <v>3</v>
      </c>
      <c r="C77" s="506" t="s">
        <v>32</v>
      </c>
      <c r="D77" s="543" t="s">
        <v>482</v>
      </c>
      <c r="E77" s="544" t="s">
        <v>528</v>
      </c>
      <c r="F77" s="544" t="s">
        <v>529</v>
      </c>
      <c r="H77" s="593">
        <f>(H71/$D$5*(1+0.1*MAX(0,ROUNDUP('Mão de Obra'!$D$12/12,0)-1))/'Mão de Obra'!$D$12)</f>
        <v>1.9164955509924708E-2</v>
      </c>
      <c r="I77" s="572">
        <f t="shared" si="10"/>
        <v>1.9164955509924708E-2</v>
      </c>
      <c r="J77" s="572">
        <f t="shared" si="10"/>
        <v>1.9164955509924708E-2</v>
      </c>
      <c r="K77" s="572">
        <f t="shared" si="11"/>
        <v>1.9164955509924708E-2</v>
      </c>
      <c r="L77" s="572">
        <f t="shared" si="12"/>
        <v>1.9164955509924708E-2</v>
      </c>
      <c r="M77" s="572">
        <f t="shared" si="12"/>
        <v>1.9164955509924708E-2</v>
      </c>
      <c r="N77" s="572">
        <f t="shared" si="12"/>
        <v>1.9164955509924708E-2</v>
      </c>
      <c r="O77" s="572">
        <f t="shared" si="12"/>
        <v>1.9164955509924708E-2</v>
      </c>
      <c r="P77" s="572">
        <f t="shared" si="12"/>
        <v>1.9164955509924708E-2</v>
      </c>
      <c r="Q77" s="572">
        <f t="shared" si="13"/>
        <v>1.9199999999999998E-2</v>
      </c>
      <c r="R77" s="527"/>
    </row>
    <row r="78" spans="1:18" ht="15" customHeight="1">
      <c r="A78" s="497"/>
      <c r="B78" s="573" t="s">
        <v>7</v>
      </c>
      <c r="C78" s="506" t="s">
        <v>33</v>
      </c>
      <c r="D78" s="543" t="s">
        <v>554</v>
      </c>
      <c r="E78" s="544" t="s">
        <v>530</v>
      </c>
      <c r="F78" s="643" t="s">
        <v>531</v>
      </c>
      <c r="H78" s="572">
        <f>H77*H51</f>
        <v>7.0527036276522943E-3</v>
      </c>
      <c r="I78" s="572">
        <f t="shared" ref="I78:P78" si="14">I77*I51</f>
        <v>7.0527036276522943E-3</v>
      </c>
      <c r="J78" s="572">
        <f t="shared" si="14"/>
        <v>5.9411362080766606E-3</v>
      </c>
      <c r="K78" s="572">
        <f t="shared" si="14"/>
        <v>5.9411362080766606E-3</v>
      </c>
      <c r="L78" s="572">
        <f t="shared" si="14"/>
        <v>5.9411362080766606E-3</v>
      </c>
      <c r="M78" s="572">
        <f t="shared" si="14"/>
        <v>5.9411362080766606E-3</v>
      </c>
      <c r="N78" s="572">
        <f t="shared" si="14"/>
        <v>5.9411362080766606E-3</v>
      </c>
      <c r="O78" s="572">
        <f t="shared" si="14"/>
        <v>5.9411362080766606E-3</v>
      </c>
      <c r="P78" s="572">
        <f t="shared" si="14"/>
        <v>5.9411362080766606E-3</v>
      </c>
      <c r="Q78" s="572">
        <f t="shared" si="13"/>
        <v>7.1000000000000004E-3</v>
      </c>
      <c r="R78" s="527"/>
    </row>
    <row r="79" spans="1:18" ht="15" customHeight="1">
      <c r="A79" s="497"/>
      <c r="B79" s="573" t="s">
        <v>6</v>
      </c>
      <c r="C79" s="506" t="s">
        <v>34</v>
      </c>
      <c r="D79" s="543" t="s">
        <v>162</v>
      </c>
      <c r="E79" s="544" t="s">
        <v>532</v>
      </c>
      <c r="F79" s="544" t="s">
        <v>533</v>
      </c>
      <c r="H79" s="568">
        <v>0.04</v>
      </c>
      <c r="I79" s="572">
        <f t="shared" si="10"/>
        <v>0.04</v>
      </c>
      <c r="J79" s="572">
        <f t="shared" si="10"/>
        <v>0.04</v>
      </c>
      <c r="K79" s="572">
        <f t="shared" si="11"/>
        <v>0.04</v>
      </c>
      <c r="L79" s="572">
        <f t="shared" si="12"/>
        <v>0.04</v>
      </c>
      <c r="M79" s="572">
        <f t="shared" si="12"/>
        <v>0.04</v>
      </c>
      <c r="N79" s="572">
        <f t="shared" si="12"/>
        <v>0.04</v>
      </c>
      <c r="O79" s="572">
        <f t="shared" si="12"/>
        <v>0.04</v>
      </c>
      <c r="P79" s="572">
        <f t="shared" si="12"/>
        <v>0.04</v>
      </c>
      <c r="Q79" s="572">
        <f t="shared" si="13"/>
        <v>0.04</v>
      </c>
      <c r="R79" s="527"/>
    </row>
    <row r="80" spans="1:18" ht="15" customHeight="1">
      <c r="B80" s="590"/>
      <c r="C80" s="591"/>
      <c r="D80" s="590"/>
      <c r="E80" s="590"/>
      <c r="F80" s="590"/>
      <c r="H80" s="592"/>
      <c r="I80" s="592"/>
      <c r="J80" s="592"/>
      <c r="K80" s="592"/>
      <c r="L80" s="592"/>
      <c r="M80" s="592"/>
      <c r="N80" s="592"/>
      <c r="O80" s="592"/>
      <c r="P80" s="592"/>
      <c r="Q80" s="592"/>
    </row>
    <row r="81" spans="1:18" s="3" customFormat="1" ht="15" customHeight="1">
      <c r="B81" s="498"/>
      <c r="C81" s="538" t="s">
        <v>128</v>
      </c>
      <c r="D81" s="538"/>
      <c r="E81" s="538"/>
      <c r="F81" s="500"/>
      <c r="H81" s="498"/>
      <c r="I81" s="539"/>
      <c r="J81" s="539"/>
      <c r="K81" s="539"/>
      <c r="L81" s="539"/>
      <c r="M81" s="539"/>
      <c r="N81" s="539"/>
      <c r="O81" s="539"/>
      <c r="P81" s="539"/>
      <c r="Q81" s="540"/>
    </row>
    <row r="82" spans="1:18" s="565" customFormat="1" ht="3.75" customHeight="1">
      <c r="B82" s="594"/>
      <c r="C82" s="595"/>
      <c r="D82" s="594"/>
      <c r="E82" s="594"/>
      <c r="F82" s="594"/>
      <c r="G82" s="3"/>
      <c r="H82" s="596"/>
      <c r="I82" s="596"/>
      <c r="J82" s="596"/>
      <c r="K82" s="596"/>
      <c r="L82" s="596"/>
      <c r="M82" s="596"/>
      <c r="N82" s="596"/>
      <c r="O82" s="596"/>
      <c r="P82" s="596"/>
      <c r="Q82" s="596"/>
    </row>
    <row r="83" spans="1:18" s="565" customFormat="1" ht="15" customHeight="1">
      <c r="B83" s="559"/>
      <c r="C83" s="560" t="s">
        <v>198</v>
      </c>
      <c r="D83" s="560"/>
      <c r="E83" s="560"/>
      <c r="F83" s="561"/>
      <c r="G83" s="3"/>
      <c r="H83" s="559"/>
      <c r="I83" s="562"/>
      <c r="J83" s="562"/>
      <c r="K83" s="562"/>
      <c r="L83" s="562"/>
      <c r="M83" s="562"/>
      <c r="N83" s="562"/>
      <c r="O83" s="562"/>
      <c r="P83" s="562"/>
      <c r="Q83" s="563"/>
    </row>
    <row r="84" spans="1:18" ht="15" customHeight="1">
      <c r="A84" s="497"/>
      <c r="B84" s="597"/>
      <c r="C84" s="585" t="s">
        <v>204</v>
      </c>
      <c r="D84" s="588"/>
      <c r="E84" s="683"/>
      <c r="F84" s="544" t="s">
        <v>280</v>
      </c>
      <c r="H84" s="589">
        <v>5</v>
      </c>
      <c r="I84" s="589">
        <f>H84</f>
        <v>5</v>
      </c>
      <c r="J84" s="589">
        <f>I84</f>
        <v>5</v>
      </c>
      <c r="K84" s="589">
        <f t="shared" ref="K84:K97" si="15">I84</f>
        <v>5</v>
      </c>
      <c r="L84" s="589">
        <f>K84</f>
        <v>5</v>
      </c>
      <c r="M84" s="589">
        <f>L84</f>
        <v>5</v>
      </c>
      <c r="N84" s="589">
        <f>M84</f>
        <v>5</v>
      </c>
      <c r="O84" s="589">
        <f>N84</f>
        <v>5</v>
      </c>
      <c r="P84" s="589">
        <f>O84</f>
        <v>5</v>
      </c>
      <c r="Q84" s="589">
        <f t="shared" ref="Q84:Q97" si="16">IFERROR(ROUND(IF($Q$17="Simples",
INDEX(H84:P84,MATCH($Q$18,$H$18:$P$18,1)),
INDEX(H84:P84,MATCH($Q$17,$H$15:$P$15,0))
),4),"")</f>
        <v>5</v>
      </c>
      <c r="R84" s="527"/>
    </row>
    <row r="85" spans="1:18" ht="15" customHeight="1">
      <c r="A85" s="497"/>
      <c r="B85" s="597"/>
      <c r="C85" s="585" t="s">
        <v>205</v>
      </c>
      <c r="D85" s="588"/>
      <c r="E85" s="588"/>
      <c r="F85" s="588"/>
      <c r="H85" s="589">
        <v>5</v>
      </c>
      <c r="I85" s="589">
        <f t="shared" ref="I85:P97" si="17">H85</f>
        <v>5</v>
      </c>
      <c r="J85" s="589">
        <f t="shared" si="17"/>
        <v>5</v>
      </c>
      <c r="K85" s="589">
        <f t="shared" si="15"/>
        <v>5</v>
      </c>
      <c r="L85" s="589">
        <f t="shared" si="17"/>
        <v>5</v>
      </c>
      <c r="M85" s="589">
        <f t="shared" si="17"/>
        <v>5</v>
      </c>
      <c r="N85" s="589">
        <f t="shared" si="17"/>
        <v>5</v>
      </c>
      <c r="O85" s="589">
        <f t="shared" si="17"/>
        <v>5</v>
      </c>
      <c r="P85" s="589">
        <f t="shared" si="17"/>
        <v>5</v>
      </c>
      <c r="Q85" s="589">
        <f t="shared" si="16"/>
        <v>5</v>
      </c>
      <c r="R85" s="527"/>
    </row>
    <row r="86" spans="1:18" ht="15" customHeight="1">
      <c r="A86" s="497"/>
      <c r="B86" s="597"/>
      <c r="C86" s="585" t="s">
        <v>206</v>
      </c>
      <c r="D86" s="598"/>
      <c r="E86" s="598"/>
      <c r="F86" s="544" t="s">
        <v>281</v>
      </c>
      <c r="H86" s="568">
        <v>1.4999999999999999E-2</v>
      </c>
      <c r="I86" s="568">
        <f t="shared" si="17"/>
        <v>1.4999999999999999E-2</v>
      </c>
      <c r="J86" s="568">
        <f t="shared" si="17"/>
        <v>1.4999999999999999E-2</v>
      </c>
      <c r="K86" s="568">
        <f t="shared" si="15"/>
        <v>1.4999999999999999E-2</v>
      </c>
      <c r="L86" s="568">
        <f t="shared" si="17"/>
        <v>1.4999999999999999E-2</v>
      </c>
      <c r="M86" s="568">
        <f t="shared" si="17"/>
        <v>1.4999999999999999E-2</v>
      </c>
      <c r="N86" s="568">
        <f t="shared" si="17"/>
        <v>1.4999999999999999E-2</v>
      </c>
      <c r="O86" s="568">
        <f t="shared" si="17"/>
        <v>1.4999999999999999E-2</v>
      </c>
      <c r="P86" s="568">
        <f t="shared" si="17"/>
        <v>1.4999999999999999E-2</v>
      </c>
      <c r="Q86" s="568">
        <f t="shared" si="16"/>
        <v>1.4999999999999999E-2</v>
      </c>
      <c r="R86" s="527"/>
    </row>
    <row r="87" spans="1:18" ht="15" customHeight="1">
      <c r="A87" s="497"/>
      <c r="B87" s="597"/>
      <c r="C87" s="585" t="s">
        <v>207</v>
      </c>
      <c r="D87" s="599"/>
      <c r="E87" s="599"/>
      <c r="F87" s="544" t="s">
        <v>282</v>
      </c>
      <c r="H87" s="600">
        <v>2.96</v>
      </c>
      <c r="I87" s="600">
        <f t="shared" si="17"/>
        <v>2.96</v>
      </c>
      <c r="J87" s="600">
        <f t="shared" si="17"/>
        <v>2.96</v>
      </c>
      <c r="K87" s="600">
        <f t="shared" si="15"/>
        <v>2.96</v>
      </c>
      <c r="L87" s="600">
        <f t="shared" si="17"/>
        <v>2.96</v>
      </c>
      <c r="M87" s="600">
        <f t="shared" si="17"/>
        <v>2.96</v>
      </c>
      <c r="N87" s="600">
        <f t="shared" si="17"/>
        <v>2.96</v>
      </c>
      <c r="O87" s="600">
        <f t="shared" si="17"/>
        <v>2.96</v>
      </c>
      <c r="P87" s="600">
        <f t="shared" si="17"/>
        <v>2.96</v>
      </c>
      <c r="Q87" s="600">
        <f t="shared" si="16"/>
        <v>2.96</v>
      </c>
      <c r="R87" s="527"/>
    </row>
    <row r="88" spans="1:18" ht="15" customHeight="1">
      <c r="A88" s="497"/>
      <c r="B88" s="597"/>
      <c r="C88" s="585" t="s">
        <v>208</v>
      </c>
      <c r="D88" s="598"/>
      <c r="E88" s="598"/>
      <c r="F88" s="544" t="s">
        <v>283</v>
      </c>
      <c r="H88" s="568">
        <v>7.7999999999999996E-3</v>
      </c>
      <c r="I88" s="568">
        <f t="shared" si="17"/>
        <v>7.7999999999999996E-3</v>
      </c>
      <c r="J88" s="568">
        <f t="shared" si="17"/>
        <v>7.7999999999999996E-3</v>
      </c>
      <c r="K88" s="568">
        <f t="shared" si="15"/>
        <v>7.7999999999999996E-3</v>
      </c>
      <c r="L88" s="568">
        <f t="shared" si="17"/>
        <v>7.7999999999999996E-3</v>
      </c>
      <c r="M88" s="568">
        <f t="shared" si="17"/>
        <v>7.7999999999999996E-3</v>
      </c>
      <c r="N88" s="568">
        <f t="shared" si="17"/>
        <v>7.7999999999999996E-3</v>
      </c>
      <c r="O88" s="568">
        <f t="shared" si="17"/>
        <v>7.7999999999999996E-3</v>
      </c>
      <c r="P88" s="568">
        <f t="shared" si="17"/>
        <v>7.7999999999999996E-3</v>
      </c>
      <c r="Q88" s="568">
        <f t="shared" si="16"/>
        <v>7.7999999999999996E-3</v>
      </c>
      <c r="R88" s="527"/>
    </row>
    <row r="89" spans="1:18" ht="15" customHeight="1">
      <c r="A89" s="497"/>
      <c r="B89" s="597"/>
      <c r="C89" s="585" t="s">
        <v>209</v>
      </c>
      <c r="D89" s="588"/>
      <c r="E89" s="588"/>
      <c r="F89" s="588"/>
      <c r="H89" s="589">
        <v>15</v>
      </c>
      <c r="I89" s="589">
        <f t="shared" si="17"/>
        <v>15</v>
      </c>
      <c r="J89" s="589">
        <f t="shared" si="17"/>
        <v>15</v>
      </c>
      <c r="K89" s="589">
        <f t="shared" si="15"/>
        <v>15</v>
      </c>
      <c r="L89" s="589">
        <f t="shared" si="17"/>
        <v>15</v>
      </c>
      <c r="M89" s="589">
        <f t="shared" si="17"/>
        <v>15</v>
      </c>
      <c r="N89" s="589">
        <f t="shared" si="17"/>
        <v>15</v>
      </c>
      <c r="O89" s="589">
        <f t="shared" si="17"/>
        <v>15</v>
      </c>
      <c r="P89" s="589">
        <f t="shared" si="17"/>
        <v>15</v>
      </c>
      <c r="Q89" s="589">
        <f t="shared" si="16"/>
        <v>15</v>
      </c>
      <c r="R89" s="527"/>
    </row>
    <row r="90" spans="1:18" ht="15" customHeight="1">
      <c r="A90" s="497"/>
      <c r="B90" s="597"/>
      <c r="C90" s="585" t="s">
        <v>210</v>
      </c>
      <c r="D90" s="601"/>
      <c r="E90" s="644"/>
      <c r="F90" s="601"/>
      <c r="H90" s="602">
        <v>4</v>
      </c>
      <c r="I90" s="602">
        <f t="shared" si="17"/>
        <v>4</v>
      </c>
      <c r="J90" s="602">
        <f t="shared" si="17"/>
        <v>4</v>
      </c>
      <c r="K90" s="602">
        <f t="shared" si="15"/>
        <v>4</v>
      </c>
      <c r="L90" s="602">
        <f t="shared" si="17"/>
        <v>4</v>
      </c>
      <c r="M90" s="602">
        <f t="shared" si="17"/>
        <v>4</v>
      </c>
      <c r="N90" s="602">
        <f t="shared" si="17"/>
        <v>4</v>
      </c>
      <c r="O90" s="602">
        <f t="shared" si="17"/>
        <v>4</v>
      </c>
      <c r="P90" s="602">
        <f t="shared" si="17"/>
        <v>4</v>
      </c>
      <c r="Q90" s="602">
        <f t="shared" si="16"/>
        <v>4</v>
      </c>
      <c r="R90" s="527"/>
    </row>
    <row r="91" spans="1:18" ht="15" customHeight="1">
      <c r="A91" s="497"/>
      <c r="B91" s="597"/>
      <c r="C91" s="585" t="s">
        <v>211</v>
      </c>
      <c r="D91" s="598"/>
      <c r="E91" s="598"/>
      <c r="F91" s="598"/>
      <c r="H91" s="568">
        <f>H90/12</f>
        <v>0.33333333333333331</v>
      </c>
      <c r="I91" s="568">
        <f t="shared" si="17"/>
        <v>0.33333333333333331</v>
      </c>
      <c r="J91" s="568">
        <f t="shared" si="17"/>
        <v>0.33333333333333331</v>
      </c>
      <c r="K91" s="568">
        <f t="shared" si="15"/>
        <v>0.33333333333333331</v>
      </c>
      <c r="L91" s="568">
        <f t="shared" si="17"/>
        <v>0.33333333333333331</v>
      </c>
      <c r="M91" s="568">
        <f t="shared" si="17"/>
        <v>0.33333333333333331</v>
      </c>
      <c r="N91" s="568">
        <f t="shared" si="17"/>
        <v>0.33333333333333331</v>
      </c>
      <c r="O91" s="568">
        <f t="shared" si="17"/>
        <v>0.33333333333333331</v>
      </c>
      <c r="P91" s="568">
        <f t="shared" si="17"/>
        <v>0.33333333333333331</v>
      </c>
      <c r="Q91" s="568">
        <f t="shared" si="16"/>
        <v>0.33329999999999999</v>
      </c>
      <c r="R91" s="527"/>
    </row>
    <row r="92" spans="1:18" ht="15" customHeight="1">
      <c r="A92" s="497"/>
      <c r="B92" s="597"/>
      <c r="C92" s="585" t="s">
        <v>212</v>
      </c>
      <c r="D92" s="603"/>
      <c r="E92" s="603"/>
      <c r="F92" s="603"/>
      <c r="H92" s="604">
        <v>2820968</v>
      </c>
      <c r="I92" s="604">
        <f t="shared" si="17"/>
        <v>2820968</v>
      </c>
      <c r="J92" s="604">
        <f t="shared" si="17"/>
        <v>2820968</v>
      </c>
      <c r="K92" s="604">
        <f t="shared" si="15"/>
        <v>2820968</v>
      </c>
      <c r="L92" s="604">
        <f t="shared" si="17"/>
        <v>2820968</v>
      </c>
      <c r="M92" s="604">
        <f t="shared" si="17"/>
        <v>2820968</v>
      </c>
      <c r="N92" s="604">
        <f t="shared" si="17"/>
        <v>2820968</v>
      </c>
      <c r="O92" s="604">
        <f t="shared" si="17"/>
        <v>2820968</v>
      </c>
      <c r="P92" s="604">
        <f t="shared" si="17"/>
        <v>2820968</v>
      </c>
      <c r="Q92" s="604">
        <f t="shared" si="16"/>
        <v>2820968</v>
      </c>
      <c r="R92" s="527"/>
    </row>
    <row r="93" spans="1:18" ht="15" customHeight="1">
      <c r="A93" s="497"/>
      <c r="B93" s="597"/>
      <c r="C93" s="585" t="s">
        <v>213</v>
      </c>
      <c r="D93" s="603"/>
      <c r="E93" s="603"/>
      <c r="F93" s="603"/>
      <c r="H93" s="604">
        <v>1303632</v>
      </c>
      <c r="I93" s="604">
        <f t="shared" si="17"/>
        <v>1303632</v>
      </c>
      <c r="J93" s="604">
        <f t="shared" si="17"/>
        <v>1303632</v>
      </c>
      <c r="K93" s="604">
        <f t="shared" si="15"/>
        <v>1303632</v>
      </c>
      <c r="L93" s="604">
        <f t="shared" si="17"/>
        <v>1303632</v>
      </c>
      <c r="M93" s="604">
        <f t="shared" si="17"/>
        <v>1303632</v>
      </c>
      <c r="N93" s="604">
        <f t="shared" si="17"/>
        <v>1303632</v>
      </c>
      <c r="O93" s="604">
        <f t="shared" si="17"/>
        <v>1303632</v>
      </c>
      <c r="P93" s="604">
        <f t="shared" si="17"/>
        <v>1303632</v>
      </c>
      <c r="Q93" s="604">
        <f t="shared" si="16"/>
        <v>1303632</v>
      </c>
      <c r="R93" s="527"/>
    </row>
    <row r="94" spans="1:18" ht="15" customHeight="1">
      <c r="A94" s="497"/>
      <c r="B94" s="597"/>
      <c r="C94" s="585" t="s">
        <v>214</v>
      </c>
      <c r="D94" s="603"/>
      <c r="E94" s="603"/>
      <c r="F94" s="603"/>
      <c r="H94" s="604">
        <v>52313</v>
      </c>
      <c r="I94" s="604">
        <f t="shared" si="17"/>
        <v>52313</v>
      </c>
      <c r="J94" s="604">
        <f t="shared" si="17"/>
        <v>52313</v>
      </c>
      <c r="K94" s="604">
        <f t="shared" si="15"/>
        <v>52313</v>
      </c>
      <c r="L94" s="604">
        <f t="shared" si="17"/>
        <v>52313</v>
      </c>
      <c r="M94" s="604">
        <f t="shared" si="17"/>
        <v>52313</v>
      </c>
      <c r="N94" s="604">
        <f t="shared" si="17"/>
        <v>52313</v>
      </c>
      <c r="O94" s="604">
        <f t="shared" si="17"/>
        <v>52313</v>
      </c>
      <c r="P94" s="604">
        <f t="shared" si="17"/>
        <v>52313</v>
      </c>
      <c r="Q94" s="604">
        <f t="shared" si="16"/>
        <v>52313</v>
      </c>
      <c r="R94" s="527"/>
    </row>
    <row r="95" spans="1:18" ht="15" customHeight="1">
      <c r="A95" s="497"/>
      <c r="B95" s="597"/>
      <c r="C95" s="585" t="s">
        <v>215</v>
      </c>
      <c r="D95" s="598"/>
      <c r="E95" s="598"/>
      <c r="F95" s="598"/>
      <c r="H95" s="568">
        <f>H94/H93</f>
        <v>4.012865593971305E-2</v>
      </c>
      <c r="I95" s="568">
        <f t="shared" si="17"/>
        <v>4.012865593971305E-2</v>
      </c>
      <c r="J95" s="568">
        <f t="shared" si="17"/>
        <v>4.012865593971305E-2</v>
      </c>
      <c r="K95" s="568">
        <f t="shared" si="15"/>
        <v>4.012865593971305E-2</v>
      </c>
      <c r="L95" s="568">
        <f t="shared" si="17"/>
        <v>4.012865593971305E-2</v>
      </c>
      <c r="M95" s="568">
        <f t="shared" si="17"/>
        <v>4.012865593971305E-2</v>
      </c>
      <c r="N95" s="568">
        <f t="shared" si="17"/>
        <v>4.012865593971305E-2</v>
      </c>
      <c r="O95" s="568">
        <f t="shared" si="17"/>
        <v>4.012865593971305E-2</v>
      </c>
      <c r="P95" s="568">
        <f t="shared" si="17"/>
        <v>4.012865593971305E-2</v>
      </c>
      <c r="Q95" s="568">
        <f t="shared" si="16"/>
        <v>4.0099999999999997E-2</v>
      </c>
      <c r="R95" s="527"/>
    </row>
    <row r="96" spans="1:18" ht="15" customHeight="1">
      <c r="A96" s="497"/>
      <c r="B96" s="597"/>
      <c r="C96" s="585" t="s">
        <v>216</v>
      </c>
      <c r="D96" s="586"/>
      <c r="E96" s="586"/>
      <c r="F96" s="586"/>
      <c r="H96" s="587">
        <f>H93/H92</f>
        <v>0.46212222187561147</v>
      </c>
      <c r="I96" s="587">
        <f t="shared" si="17"/>
        <v>0.46212222187561147</v>
      </c>
      <c r="J96" s="587">
        <f t="shared" si="17"/>
        <v>0.46212222187561147</v>
      </c>
      <c r="K96" s="587">
        <f t="shared" si="15"/>
        <v>0.46212222187561147</v>
      </c>
      <c r="L96" s="587">
        <f t="shared" si="17"/>
        <v>0.46212222187561147</v>
      </c>
      <c r="M96" s="587">
        <f t="shared" si="17"/>
        <v>0.46212222187561147</v>
      </c>
      <c r="N96" s="587">
        <f t="shared" si="17"/>
        <v>0.46212222187561147</v>
      </c>
      <c r="O96" s="587">
        <f t="shared" si="17"/>
        <v>0.46212222187561147</v>
      </c>
      <c r="P96" s="587">
        <f t="shared" si="17"/>
        <v>0.46212222187561147</v>
      </c>
      <c r="Q96" s="587">
        <f t="shared" si="16"/>
        <v>0.46210000000000001</v>
      </c>
      <c r="R96" s="527"/>
    </row>
    <row r="97" spans="1:18" ht="15" customHeight="1">
      <c r="A97" s="497"/>
      <c r="B97" s="597"/>
      <c r="C97" s="585" t="s">
        <v>218</v>
      </c>
      <c r="D97" s="598"/>
      <c r="E97" s="598"/>
      <c r="F97" s="544" t="s">
        <v>616</v>
      </c>
      <c r="H97" s="568">
        <f>H91*H95*H96</f>
        <v>6.181447881247382E-3</v>
      </c>
      <c r="I97" s="568">
        <f t="shared" si="17"/>
        <v>6.181447881247382E-3</v>
      </c>
      <c r="J97" s="568">
        <f t="shared" si="17"/>
        <v>6.181447881247382E-3</v>
      </c>
      <c r="K97" s="568">
        <f t="shared" si="15"/>
        <v>6.181447881247382E-3</v>
      </c>
      <c r="L97" s="568">
        <f t="shared" si="17"/>
        <v>6.181447881247382E-3</v>
      </c>
      <c r="M97" s="568">
        <f t="shared" si="17"/>
        <v>6.181447881247382E-3</v>
      </c>
      <c r="N97" s="568">
        <f t="shared" si="17"/>
        <v>6.181447881247382E-3</v>
      </c>
      <c r="O97" s="568">
        <f t="shared" si="17"/>
        <v>6.181447881247382E-3</v>
      </c>
      <c r="P97" s="568">
        <f t="shared" si="17"/>
        <v>6.181447881247382E-3</v>
      </c>
      <c r="Q97" s="568">
        <f t="shared" si="16"/>
        <v>6.1999999999999998E-3</v>
      </c>
      <c r="R97" s="527"/>
    </row>
    <row r="98" spans="1:18" ht="3.75" customHeight="1">
      <c r="B98" s="605"/>
      <c r="C98" s="606"/>
      <c r="D98" s="607"/>
      <c r="E98" s="607"/>
      <c r="F98" s="607"/>
      <c r="H98" s="592"/>
      <c r="I98" s="592"/>
      <c r="J98" s="592"/>
      <c r="K98" s="592"/>
      <c r="L98" s="592"/>
      <c r="M98" s="592"/>
      <c r="N98" s="592"/>
      <c r="O98" s="592"/>
      <c r="P98" s="592"/>
      <c r="Q98" s="592"/>
    </row>
    <row r="99" spans="1:18" s="565" customFormat="1" ht="15" customHeight="1">
      <c r="B99" s="559"/>
      <c r="C99" s="560" t="s">
        <v>172</v>
      </c>
      <c r="D99" s="560"/>
      <c r="E99" s="560"/>
      <c r="F99" s="561"/>
      <c r="G99" s="3"/>
      <c r="H99" s="559"/>
      <c r="I99" s="562"/>
      <c r="J99" s="562"/>
      <c r="K99" s="562"/>
      <c r="L99" s="562"/>
      <c r="M99" s="562"/>
      <c r="N99" s="562"/>
      <c r="O99" s="562"/>
      <c r="P99" s="562"/>
      <c r="Q99" s="563"/>
    </row>
    <row r="100" spans="1:18" ht="15" customHeight="1">
      <c r="A100" s="497"/>
      <c r="B100" s="505" t="s">
        <v>2</v>
      </c>
      <c r="C100" s="506" t="s">
        <v>35</v>
      </c>
      <c r="D100" s="543" t="s">
        <v>463</v>
      </c>
      <c r="E100" s="544" t="s">
        <v>99</v>
      </c>
      <c r="F100" s="544" t="s">
        <v>279</v>
      </c>
      <c r="H100" s="568">
        <f>((1/12)/12)+((1/12)/12)+((1/3)*((1/12)/12))</f>
        <v>1.6203703703703703E-2</v>
      </c>
      <c r="I100" s="568">
        <f>H100</f>
        <v>1.6203703703703703E-2</v>
      </c>
      <c r="J100" s="568">
        <f>I100</f>
        <v>1.6203703703703703E-2</v>
      </c>
      <c r="K100" s="568">
        <f t="shared" ref="K100:K108" si="18">I100</f>
        <v>1.6203703703703703E-2</v>
      </c>
      <c r="L100" s="568">
        <f>K100</f>
        <v>1.6203703703703703E-2</v>
      </c>
      <c r="M100" s="568">
        <f>L100</f>
        <v>1.6203703703703703E-2</v>
      </c>
      <c r="N100" s="568">
        <f>M100</f>
        <v>1.6203703703703703E-2</v>
      </c>
      <c r="O100" s="568">
        <f>N100</f>
        <v>1.6203703703703703E-2</v>
      </c>
      <c r="P100" s="568">
        <f>O100</f>
        <v>1.6203703703703703E-2</v>
      </c>
      <c r="Q100" s="568">
        <f t="shared" ref="Q100:Q108" si="19">IFERROR(ROUND(IF($Q$17="Simples",
INDEX(H100:P100,MATCH($Q$18,$H$18:$P$18,1)),
INDEX(H100:P100,MATCH($Q$17,$H$15:$P$15,0))
),4),"")</f>
        <v>1.6199999999999999E-2</v>
      </c>
      <c r="R100" s="527"/>
    </row>
    <row r="101" spans="1:18" ht="15" customHeight="1">
      <c r="A101" s="497"/>
      <c r="B101" s="505" t="s">
        <v>1</v>
      </c>
      <c r="C101" s="506" t="s">
        <v>187</v>
      </c>
      <c r="D101" s="543" t="s">
        <v>167</v>
      </c>
      <c r="E101" s="544" t="s">
        <v>534</v>
      </c>
      <c r="F101" s="544" t="s">
        <v>280</v>
      </c>
      <c r="H101" s="568">
        <f>(H84/$D$5)/$D$10</f>
        <v>1.3689253935660506E-2</v>
      </c>
      <c r="I101" s="568">
        <f t="shared" ref="I101:P108" si="20">H101</f>
        <v>1.3689253935660506E-2</v>
      </c>
      <c r="J101" s="568">
        <f t="shared" si="20"/>
        <v>1.3689253935660506E-2</v>
      </c>
      <c r="K101" s="568">
        <f t="shared" si="18"/>
        <v>1.3689253935660506E-2</v>
      </c>
      <c r="L101" s="568">
        <f t="shared" si="20"/>
        <v>1.3689253935660506E-2</v>
      </c>
      <c r="M101" s="568">
        <f t="shared" si="20"/>
        <v>1.3689253935660506E-2</v>
      </c>
      <c r="N101" s="568">
        <f t="shared" si="20"/>
        <v>1.3689253935660506E-2</v>
      </c>
      <c r="O101" s="568">
        <f t="shared" si="20"/>
        <v>1.3689253935660506E-2</v>
      </c>
      <c r="P101" s="568">
        <f t="shared" si="20"/>
        <v>1.3689253935660506E-2</v>
      </c>
      <c r="Q101" s="568">
        <f t="shared" si="19"/>
        <v>1.37E-2</v>
      </c>
      <c r="R101" s="527"/>
    </row>
    <row r="102" spans="1:18" ht="15" customHeight="1">
      <c r="A102" s="497"/>
      <c r="B102" s="505" t="s">
        <v>0</v>
      </c>
      <c r="C102" s="506" t="s">
        <v>36</v>
      </c>
      <c r="D102" s="543" t="s">
        <v>168</v>
      </c>
      <c r="E102" s="544" t="s">
        <v>100</v>
      </c>
      <c r="F102" s="544" t="s">
        <v>281</v>
      </c>
      <c r="H102" s="568">
        <f>((H85/$D$5)/$D$10*H86)</f>
        <v>2.0533880903490757E-4</v>
      </c>
      <c r="I102" s="568">
        <f t="shared" si="20"/>
        <v>2.0533880903490757E-4</v>
      </c>
      <c r="J102" s="568">
        <f t="shared" si="20"/>
        <v>2.0533880903490757E-4</v>
      </c>
      <c r="K102" s="568">
        <f t="shared" si="18"/>
        <v>2.0533880903490757E-4</v>
      </c>
      <c r="L102" s="568">
        <f t="shared" si="20"/>
        <v>2.0533880903490757E-4</v>
      </c>
      <c r="M102" s="568">
        <f t="shared" si="20"/>
        <v>2.0533880903490757E-4</v>
      </c>
      <c r="N102" s="568">
        <f t="shared" si="20"/>
        <v>2.0533880903490757E-4</v>
      </c>
      <c r="O102" s="568">
        <f t="shared" si="20"/>
        <v>2.0533880903490757E-4</v>
      </c>
      <c r="P102" s="568">
        <f t="shared" si="20"/>
        <v>2.0533880903490757E-4</v>
      </c>
      <c r="Q102" s="568">
        <f t="shared" si="19"/>
        <v>2.0000000000000001E-4</v>
      </c>
      <c r="R102" s="527"/>
    </row>
    <row r="103" spans="1:18" ht="15" customHeight="1">
      <c r="A103" s="497"/>
      <c r="B103" s="505" t="s">
        <v>3</v>
      </c>
      <c r="C103" s="506" t="s">
        <v>37</v>
      </c>
      <c r="D103" s="543" t="s">
        <v>169</v>
      </c>
      <c r="E103" s="544" t="s">
        <v>101</v>
      </c>
      <c r="F103" s="544" t="s">
        <v>535</v>
      </c>
      <c r="H103" s="568">
        <f>H87/$D$5/$D$10</f>
        <v>8.1040383299110196E-3</v>
      </c>
      <c r="I103" s="568">
        <f t="shared" si="20"/>
        <v>8.1040383299110196E-3</v>
      </c>
      <c r="J103" s="568">
        <f t="shared" si="20"/>
        <v>8.1040383299110196E-3</v>
      </c>
      <c r="K103" s="568">
        <f t="shared" si="18"/>
        <v>8.1040383299110196E-3</v>
      </c>
      <c r="L103" s="568">
        <f t="shared" si="20"/>
        <v>8.1040383299110196E-3</v>
      </c>
      <c r="M103" s="568">
        <f t="shared" si="20"/>
        <v>8.1040383299110196E-3</v>
      </c>
      <c r="N103" s="568">
        <f t="shared" si="20"/>
        <v>8.1040383299110196E-3</v>
      </c>
      <c r="O103" s="568">
        <f t="shared" si="20"/>
        <v>8.1040383299110196E-3</v>
      </c>
      <c r="P103" s="568">
        <f t="shared" si="20"/>
        <v>8.1040383299110196E-3</v>
      </c>
      <c r="Q103" s="568">
        <f t="shared" si="19"/>
        <v>8.0999999999999996E-3</v>
      </c>
      <c r="R103" s="527"/>
    </row>
    <row r="104" spans="1:18" ht="15" customHeight="1">
      <c r="A104" s="497"/>
      <c r="B104" s="505" t="s">
        <v>7</v>
      </c>
      <c r="C104" s="506" t="s">
        <v>188</v>
      </c>
      <c r="D104" s="543" t="s">
        <v>170</v>
      </c>
      <c r="E104" s="544" t="s">
        <v>536</v>
      </c>
      <c r="F104" s="544" t="s">
        <v>283</v>
      </c>
      <c r="H104" s="568">
        <f>(H89/$D$5/$D$10)*H88</f>
        <v>3.2032854209445585E-4</v>
      </c>
      <c r="I104" s="568">
        <f t="shared" si="20"/>
        <v>3.2032854209445585E-4</v>
      </c>
      <c r="J104" s="568">
        <f t="shared" si="20"/>
        <v>3.2032854209445585E-4</v>
      </c>
      <c r="K104" s="568">
        <f t="shared" si="18"/>
        <v>3.2032854209445585E-4</v>
      </c>
      <c r="L104" s="568">
        <f t="shared" si="20"/>
        <v>3.2032854209445585E-4</v>
      </c>
      <c r="M104" s="568">
        <f t="shared" si="20"/>
        <v>3.2032854209445585E-4</v>
      </c>
      <c r="N104" s="568">
        <f t="shared" si="20"/>
        <v>3.2032854209445585E-4</v>
      </c>
      <c r="O104" s="568">
        <f t="shared" si="20"/>
        <v>3.2032854209445585E-4</v>
      </c>
      <c r="P104" s="568">
        <f t="shared" si="20"/>
        <v>3.2032854209445585E-4</v>
      </c>
      <c r="Q104" s="568">
        <f t="shared" si="19"/>
        <v>2.9999999999999997E-4</v>
      </c>
      <c r="R104" s="527"/>
    </row>
    <row r="105" spans="1:18" ht="15" customHeight="1">
      <c r="A105" s="497"/>
      <c r="B105" s="505" t="s">
        <v>6</v>
      </c>
      <c r="C105" s="506" t="s">
        <v>38</v>
      </c>
      <c r="D105" s="543" t="s">
        <v>171</v>
      </c>
      <c r="E105" s="544" t="s">
        <v>537</v>
      </c>
      <c r="F105" s="544" t="s">
        <v>616</v>
      </c>
      <c r="H105" s="568">
        <f>((1/12)+((1/3)*(1/12)))*H97</f>
        <v>6.868275423608202E-4</v>
      </c>
      <c r="I105" s="568">
        <f t="shared" si="20"/>
        <v>6.868275423608202E-4</v>
      </c>
      <c r="J105" s="568">
        <f t="shared" si="20"/>
        <v>6.868275423608202E-4</v>
      </c>
      <c r="K105" s="568">
        <f t="shared" si="18"/>
        <v>6.868275423608202E-4</v>
      </c>
      <c r="L105" s="568">
        <f t="shared" si="20"/>
        <v>6.868275423608202E-4</v>
      </c>
      <c r="M105" s="568">
        <f t="shared" si="20"/>
        <v>6.868275423608202E-4</v>
      </c>
      <c r="N105" s="568">
        <f t="shared" si="20"/>
        <v>6.868275423608202E-4</v>
      </c>
      <c r="O105" s="568">
        <f t="shared" si="20"/>
        <v>6.868275423608202E-4</v>
      </c>
      <c r="P105" s="568">
        <f t="shared" si="20"/>
        <v>6.868275423608202E-4</v>
      </c>
      <c r="Q105" s="568">
        <f t="shared" si="19"/>
        <v>6.9999999999999999E-4</v>
      </c>
      <c r="R105" s="527"/>
    </row>
    <row r="106" spans="1:18" ht="15" customHeight="1">
      <c r="A106" s="497"/>
      <c r="B106" s="505" t="s">
        <v>5</v>
      </c>
      <c r="C106" s="506" t="s">
        <v>92</v>
      </c>
      <c r="D106" s="543" t="s">
        <v>538</v>
      </c>
      <c r="E106" s="544"/>
      <c r="F106" s="544" t="s">
        <v>539</v>
      </c>
      <c r="H106" s="608">
        <f>SUM(H100:H105)*H51</f>
        <v>1.4429092637497674E-2</v>
      </c>
      <c r="I106" s="608">
        <f t="shared" ref="I106:P106" si="21">SUM(I100:I105)*I51</f>
        <v>1.4429092637497674E-2</v>
      </c>
      <c r="J106" s="608">
        <f t="shared" si="21"/>
        <v>1.2154942167457279E-2</v>
      </c>
      <c r="K106" s="608">
        <f t="shared" si="21"/>
        <v>1.2154942167457279E-2</v>
      </c>
      <c r="L106" s="608">
        <f t="shared" si="21"/>
        <v>1.2154942167457279E-2</v>
      </c>
      <c r="M106" s="608">
        <f t="shared" si="21"/>
        <v>1.2154942167457279E-2</v>
      </c>
      <c r="N106" s="608">
        <f t="shared" si="21"/>
        <v>1.2154942167457279E-2</v>
      </c>
      <c r="O106" s="608">
        <f t="shared" si="21"/>
        <v>1.2154942167457279E-2</v>
      </c>
      <c r="P106" s="608">
        <f t="shared" si="21"/>
        <v>1.2154942167457279E-2</v>
      </c>
      <c r="Q106" s="608">
        <f t="shared" si="19"/>
        <v>1.44E-2</v>
      </c>
      <c r="R106" s="527"/>
    </row>
    <row r="107" spans="1:18" ht="15" customHeight="1">
      <c r="A107" s="497"/>
      <c r="B107" s="505" t="s">
        <v>4</v>
      </c>
      <c r="C107" s="506" t="s">
        <v>89</v>
      </c>
      <c r="D107" s="543" t="s">
        <v>284</v>
      </c>
      <c r="E107" s="544"/>
      <c r="F107" s="544" t="s">
        <v>541</v>
      </c>
      <c r="H107" s="609">
        <v>37.96</v>
      </c>
      <c r="I107" s="609">
        <f t="shared" si="20"/>
        <v>37.96</v>
      </c>
      <c r="J107" s="609">
        <f t="shared" si="20"/>
        <v>37.96</v>
      </c>
      <c r="K107" s="609">
        <f t="shared" si="18"/>
        <v>37.96</v>
      </c>
      <c r="L107" s="609">
        <f t="shared" si="20"/>
        <v>37.96</v>
      </c>
      <c r="M107" s="609">
        <f t="shared" si="20"/>
        <v>37.96</v>
      </c>
      <c r="N107" s="609">
        <f t="shared" si="20"/>
        <v>37.96</v>
      </c>
      <c r="O107" s="609">
        <f t="shared" si="20"/>
        <v>37.96</v>
      </c>
      <c r="P107" s="609">
        <f t="shared" si="20"/>
        <v>37.96</v>
      </c>
      <c r="Q107" s="610">
        <f t="shared" si="19"/>
        <v>37.96</v>
      </c>
      <c r="R107" s="527"/>
    </row>
    <row r="108" spans="1:18" ht="15" customHeight="1">
      <c r="A108" s="497"/>
      <c r="B108" s="505" t="s">
        <v>113</v>
      </c>
      <c r="C108" s="506" t="s">
        <v>39</v>
      </c>
      <c r="D108" s="543" t="s">
        <v>540</v>
      </c>
      <c r="E108" s="544"/>
      <c r="F108" s="544" t="s">
        <v>541</v>
      </c>
      <c r="H108" s="609">
        <v>37.96</v>
      </c>
      <c r="I108" s="609">
        <f t="shared" si="20"/>
        <v>37.96</v>
      </c>
      <c r="J108" s="609">
        <f t="shared" si="20"/>
        <v>37.96</v>
      </c>
      <c r="K108" s="609">
        <f t="shared" si="18"/>
        <v>37.96</v>
      </c>
      <c r="L108" s="609">
        <f t="shared" si="20"/>
        <v>37.96</v>
      </c>
      <c r="M108" s="609">
        <f t="shared" si="20"/>
        <v>37.96</v>
      </c>
      <c r="N108" s="609">
        <f t="shared" si="20"/>
        <v>37.96</v>
      </c>
      <c r="O108" s="609">
        <f t="shared" si="20"/>
        <v>37.96</v>
      </c>
      <c r="P108" s="609">
        <f t="shared" si="20"/>
        <v>37.96</v>
      </c>
      <c r="Q108" s="610">
        <f t="shared" si="19"/>
        <v>37.96</v>
      </c>
      <c r="R108" s="527"/>
    </row>
    <row r="109" spans="1:18" customFormat="1" ht="3.75" customHeight="1">
      <c r="H109" s="12"/>
      <c r="I109" s="12"/>
      <c r="J109" s="12"/>
      <c r="K109" s="12"/>
      <c r="L109" s="12"/>
      <c r="M109" s="12"/>
      <c r="N109" s="12"/>
      <c r="O109" s="12"/>
      <c r="P109" s="12"/>
      <c r="Q109" s="12"/>
    </row>
    <row r="110" spans="1:18" s="565" customFormat="1" ht="15" customHeight="1">
      <c r="B110" s="559"/>
      <c r="C110" s="560" t="s">
        <v>129</v>
      </c>
      <c r="D110" s="560"/>
      <c r="E110" s="560"/>
      <c r="F110" s="561"/>
      <c r="G110" s="3"/>
      <c r="H110" s="559"/>
      <c r="I110" s="562"/>
      <c r="J110" s="562"/>
      <c r="K110" s="562"/>
      <c r="L110" s="562"/>
      <c r="M110" s="562"/>
      <c r="N110" s="562"/>
      <c r="O110" s="562"/>
      <c r="P110" s="562"/>
      <c r="Q110" s="563"/>
    </row>
    <row r="111" spans="1:18" ht="15" customHeight="1">
      <c r="B111" s="888" t="s">
        <v>2</v>
      </c>
      <c r="C111" s="542" t="s">
        <v>102</v>
      </c>
      <c r="D111" s="543" t="s">
        <v>111</v>
      </c>
      <c r="E111" s="544" t="s">
        <v>104</v>
      </c>
      <c r="F111" s="544" t="s">
        <v>542</v>
      </c>
      <c r="H111" s="609"/>
      <c r="I111" s="609"/>
      <c r="J111" s="609"/>
      <c r="K111" s="609"/>
      <c r="L111" s="609"/>
      <c r="M111" s="609"/>
      <c r="N111" s="609"/>
      <c r="O111" s="609"/>
      <c r="P111" s="609"/>
      <c r="Q111" s="610"/>
      <c r="R111" s="527"/>
    </row>
    <row r="112" spans="1:18" ht="15" customHeight="1">
      <c r="B112" s="889"/>
      <c r="C112" s="542" t="s">
        <v>103</v>
      </c>
      <c r="D112" s="543" t="s">
        <v>112</v>
      </c>
      <c r="E112" s="544" t="s">
        <v>104</v>
      </c>
      <c r="F112" s="544" t="s">
        <v>543</v>
      </c>
      <c r="H112" s="609"/>
      <c r="I112" s="609"/>
      <c r="J112" s="609"/>
      <c r="K112" s="609"/>
      <c r="L112" s="609"/>
      <c r="M112" s="609"/>
      <c r="N112" s="609"/>
      <c r="O112" s="609"/>
      <c r="P112" s="609"/>
      <c r="Q112" s="610"/>
      <c r="R112" s="527"/>
    </row>
    <row r="113" spans="1:18" ht="15" customHeight="1">
      <c r="B113" s="611"/>
      <c r="C113" s="612"/>
      <c r="D113" s="613"/>
      <c r="E113" s="614"/>
      <c r="F113" s="614"/>
      <c r="H113" s="12"/>
      <c r="I113" s="12"/>
      <c r="J113" s="12"/>
      <c r="K113" s="12"/>
      <c r="L113" s="12"/>
      <c r="M113" s="12"/>
      <c r="N113" s="12"/>
      <c r="O113" s="12"/>
      <c r="P113" s="12"/>
      <c r="Q113" s="12"/>
      <c r="R113"/>
    </row>
    <row r="114" spans="1:18" s="3" customFormat="1" ht="15" customHeight="1">
      <c r="B114" s="498"/>
      <c r="C114" s="538" t="s">
        <v>326</v>
      </c>
      <c r="D114" s="538"/>
      <c r="E114" s="538"/>
      <c r="F114" s="538"/>
      <c r="G114"/>
      <c r="H114" s="538"/>
      <c r="I114" s="538"/>
      <c r="J114" s="538"/>
      <c r="K114" s="538"/>
      <c r="L114" s="538"/>
      <c r="M114" s="538"/>
      <c r="N114" s="538"/>
      <c r="O114" s="538"/>
      <c r="P114" s="538"/>
      <c r="Q114" s="538"/>
    </row>
    <row r="115" spans="1:18" ht="5.25" customHeight="1">
      <c r="B115"/>
      <c r="C115"/>
      <c r="D115"/>
      <c r="E115"/>
      <c r="F115"/>
      <c r="G115"/>
      <c r="H115"/>
      <c r="I115"/>
      <c r="J115"/>
      <c r="K115"/>
      <c r="L115"/>
      <c r="M115"/>
      <c r="N115"/>
      <c r="O115"/>
      <c r="P115"/>
      <c r="Q115"/>
      <c r="R115" s="527"/>
    </row>
    <row r="116" spans="1:18" ht="15" customHeight="1">
      <c r="A116" s="497"/>
      <c r="B116" s="559"/>
      <c r="C116" s="560" t="s">
        <v>327</v>
      </c>
      <c r="D116" s="560"/>
      <c r="E116" s="560"/>
      <c r="F116" s="561"/>
      <c r="G116"/>
      <c r="H116" s="615"/>
      <c r="I116" s="560"/>
      <c r="J116" s="560"/>
      <c r="K116" s="560"/>
      <c r="L116" s="560"/>
      <c r="M116" s="560"/>
      <c r="N116" s="560"/>
      <c r="O116" s="560"/>
      <c r="P116" s="560"/>
      <c r="Q116" s="561"/>
      <c r="R116" s="527"/>
    </row>
    <row r="117" spans="1:18" ht="15" customHeight="1">
      <c r="B117" s="616" t="s">
        <v>2</v>
      </c>
      <c r="C117" s="684" t="s">
        <v>224</v>
      </c>
      <c r="D117" s="685"/>
      <c r="E117" s="685" t="s">
        <v>544</v>
      </c>
      <c r="F117" s="685" t="s">
        <v>545</v>
      </c>
      <c r="G117"/>
      <c r="H117" s="617"/>
      <c r="I117" s="617"/>
      <c r="J117" s="617"/>
      <c r="K117" s="617"/>
      <c r="L117" s="617"/>
      <c r="M117" s="617"/>
      <c r="N117" s="617"/>
      <c r="O117" s="617"/>
      <c r="P117" s="617"/>
      <c r="Q117" s="617"/>
      <c r="R117" s="527"/>
    </row>
    <row r="118" spans="1:18" ht="15" customHeight="1">
      <c r="B118" s="616" t="s">
        <v>1</v>
      </c>
      <c r="C118" s="684" t="s">
        <v>225</v>
      </c>
      <c r="D118" s="685"/>
      <c r="E118" s="617"/>
      <c r="F118" s="686" t="s">
        <v>546</v>
      </c>
      <c r="G118"/>
      <c r="H118" s="617"/>
      <c r="I118" s="617"/>
      <c r="J118" s="617"/>
      <c r="K118" s="617"/>
      <c r="L118" s="617"/>
      <c r="M118" s="617"/>
      <c r="N118" s="617"/>
      <c r="O118" s="617"/>
      <c r="P118" s="617"/>
      <c r="Q118" s="617"/>
      <c r="R118" s="527"/>
    </row>
    <row r="119" spans="1:18" ht="5.25" customHeight="1">
      <c r="B119"/>
      <c r="C119"/>
      <c r="D119"/>
      <c r="E119"/>
      <c r="F119"/>
      <c r="G119"/>
      <c r="H119"/>
      <c r="I119"/>
      <c r="J119"/>
      <c r="K119"/>
      <c r="L119"/>
      <c r="M119"/>
      <c r="N119"/>
      <c r="O119"/>
      <c r="P119"/>
      <c r="Q119"/>
      <c r="R119" s="527"/>
    </row>
    <row r="120" spans="1:18" ht="5.25" customHeight="1">
      <c r="B120" s="287"/>
      <c r="C120" s="287"/>
      <c r="D120" s="287"/>
      <c r="E120" s="287"/>
      <c r="F120" s="287"/>
      <c r="G120"/>
      <c r="H120" s="287"/>
      <c r="I120" s="287"/>
      <c r="J120" s="287"/>
      <c r="K120" s="287"/>
      <c r="L120" s="287"/>
      <c r="M120" s="287"/>
      <c r="N120" s="287"/>
      <c r="O120" s="287"/>
      <c r="P120" s="287"/>
      <c r="Q120" s="287"/>
      <c r="R120" s="527"/>
    </row>
    <row r="121" spans="1:18" ht="15" customHeight="1">
      <c r="A121" s="497"/>
      <c r="B121" s="559"/>
      <c r="C121" s="560" t="s">
        <v>328</v>
      </c>
      <c r="D121" s="560"/>
      <c r="E121" s="560"/>
      <c r="F121" s="561"/>
      <c r="G121"/>
      <c r="H121" s="615"/>
      <c r="I121" s="560"/>
      <c r="J121" s="560"/>
      <c r="K121" s="560"/>
      <c r="L121" s="560"/>
      <c r="M121" s="560"/>
      <c r="N121" s="560"/>
      <c r="O121" s="560"/>
      <c r="P121" s="560"/>
      <c r="Q121" s="561"/>
      <c r="R121" s="527"/>
    </row>
    <row r="122" spans="1:18" ht="15" customHeight="1">
      <c r="B122" s="618" t="s">
        <v>332</v>
      </c>
      <c r="C122" s="687" t="s">
        <v>238</v>
      </c>
      <c r="D122" s="506"/>
      <c r="E122" s="619"/>
      <c r="F122" s="506" t="s">
        <v>545</v>
      </c>
      <c r="G122"/>
      <c r="H122" s="619"/>
      <c r="I122" s="619"/>
      <c r="J122" s="619"/>
      <c r="K122" s="619"/>
      <c r="L122" s="619"/>
      <c r="M122" s="619"/>
      <c r="N122" s="619"/>
      <c r="O122" s="619"/>
      <c r="P122" s="619"/>
      <c r="Q122" s="619"/>
      <c r="R122" s="527"/>
    </row>
    <row r="123" spans="1:18" ht="15" customHeight="1">
      <c r="B123" s="620" t="s">
        <v>333</v>
      </c>
      <c r="C123" s="688" t="s">
        <v>237</v>
      </c>
      <c r="D123" s="689"/>
      <c r="E123" s="621"/>
      <c r="F123" s="689" t="s">
        <v>545</v>
      </c>
      <c r="G123"/>
      <c r="H123" s="621"/>
      <c r="I123" s="621"/>
      <c r="J123" s="621"/>
      <c r="K123" s="621"/>
      <c r="L123" s="621"/>
      <c r="M123" s="621"/>
      <c r="N123" s="621"/>
      <c r="O123" s="621"/>
      <c r="P123" s="621"/>
      <c r="Q123" s="621"/>
      <c r="R123" s="527"/>
    </row>
    <row r="124" spans="1:18" ht="15" customHeight="1">
      <c r="B124" s="622" t="s">
        <v>334</v>
      </c>
      <c r="C124" s="690" t="s">
        <v>331</v>
      </c>
      <c r="D124" s="689"/>
      <c r="E124" s="621"/>
      <c r="F124" s="689" t="s">
        <v>545</v>
      </c>
      <c r="G124"/>
      <c r="H124" s="621"/>
      <c r="I124" s="621"/>
      <c r="J124" s="621"/>
      <c r="K124" s="621"/>
      <c r="L124" s="621"/>
      <c r="M124" s="621"/>
      <c r="N124" s="621"/>
      <c r="O124" s="621"/>
      <c r="P124" s="621"/>
      <c r="Q124" s="621"/>
      <c r="R124" s="527"/>
    </row>
    <row r="125" spans="1:18" ht="15" customHeight="1">
      <c r="B125" s="623" t="s">
        <v>335</v>
      </c>
      <c r="C125" s="691" t="s">
        <v>239</v>
      </c>
      <c r="D125" s="689"/>
      <c r="E125" s="621"/>
      <c r="F125" s="689" t="s">
        <v>545</v>
      </c>
      <c r="G125"/>
      <c r="H125" s="621"/>
      <c r="I125" s="621"/>
      <c r="J125" s="621"/>
      <c r="K125" s="621"/>
      <c r="L125" s="621"/>
      <c r="M125" s="621"/>
      <c r="N125" s="621"/>
      <c r="O125" s="621"/>
      <c r="P125" s="621"/>
      <c r="Q125" s="621"/>
      <c r="R125" s="527"/>
    </row>
    <row r="126" spans="1:18" ht="15" customHeight="1">
      <c r="B126" s="624" t="s">
        <v>336</v>
      </c>
      <c r="C126" s="692" t="s">
        <v>14</v>
      </c>
      <c r="D126" s="506"/>
      <c r="E126" s="619"/>
      <c r="F126" s="619"/>
      <c r="G126"/>
      <c r="H126" s="619"/>
      <c r="I126" s="619"/>
      <c r="J126" s="619"/>
      <c r="K126" s="619"/>
      <c r="L126" s="619"/>
      <c r="M126" s="619"/>
      <c r="N126" s="619"/>
      <c r="O126" s="619"/>
      <c r="P126" s="619"/>
      <c r="Q126" s="619"/>
      <c r="R126" s="527"/>
    </row>
    <row r="127" spans="1:18" ht="5.25" customHeight="1">
      <c r="B127" s="299"/>
      <c r="C127" s="37"/>
      <c r="D127" s="37"/>
      <c r="E127" s="37"/>
      <c r="F127" s="37"/>
      <c r="G127"/>
      <c r="H127" s="37"/>
      <c r="I127" s="37"/>
      <c r="J127" s="37"/>
      <c r="K127" s="37"/>
      <c r="L127" s="37"/>
      <c r="M127" s="37"/>
      <c r="N127" s="37"/>
      <c r="O127" s="37"/>
      <c r="P127" s="37"/>
      <c r="Q127" s="37"/>
      <c r="R127" s="527"/>
    </row>
    <row r="128" spans="1:18" ht="15" customHeight="1">
      <c r="A128" s="497"/>
      <c r="B128" s="559"/>
      <c r="C128" s="560" t="s">
        <v>329</v>
      </c>
      <c r="D128" s="560"/>
      <c r="E128" s="560"/>
      <c r="F128" s="561"/>
      <c r="G128"/>
      <c r="H128" s="615"/>
      <c r="I128" s="560"/>
      <c r="J128" s="560"/>
      <c r="K128" s="560"/>
      <c r="L128" s="560"/>
      <c r="M128" s="560"/>
      <c r="N128" s="560"/>
      <c r="O128" s="560"/>
      <c r="P128" s="560"/>
      <c r="Q128" s="561"/>
      <c r="R128" s="527"/>
    </row>
    <row r="129" spans="1:18" ht="15" customHeight="1">
      <c r="B129" s="625" t="s">
        <v>338</v>
      </c>
      <c r="C129" s="693" t="s">
        <v>13</v>
      </c>
      <c r="D129" s="506"/>
      <c r="E129" s="506" t="s">
        <v>547</v>
      </c>
      <c r="F129" s="506"/>
      <c r="G129"/>
      <c r="H129" s="619"/>
      <c r="I129" s="619"/>
      <c r="J129" s="619"/>
      <c r="K129" s="619"/>
      <c r="L129" s="619"/>
      <c r="M129" s="619"/>
      <c r="N129" s="619"/>
      <c r="O129" s="619"/>
      <c r="P129" s="619"/>
      <c r="Q129" s="619"/>
      <c r="R129" s="527"/>
    </row>
    <row r="130" spans="1:18" ht="15" customHeight="1">
      <c r="B130" s="625" t="s">
        <v>339</v>
      </c>
      <c r="C130" s="693" t="s">
        <v>12</v>
      </c>
      <c r="D130" s="506"/>
      <c r="E130" s="506" t="s">
        <v>548</v>
      </c>
      <c r="F130" s="506"/>
      <c r="G130"/>
      <c r="H130" s="619"/>
      <c r="I130" s="619"/>
      <c r="J130" s="619"/>
      <c r="K130" s="619"/>
      <c r="L130" s="619"/>
      <c r="M130" s="619"/>
      <c r="N130" s="619"/>
      <c r="O130" s="619"/>
      <c r="P130" s="619"/>
      <c r="Q130" s="619"/>
      <c r="R130" s="527"/>
    </row>
    <row r="131" spans="1:18" ht="15" customHeight="1">
      <c r="B131" s="626" t="s">
        <v>340</v>
      </c>
      <c r="C131" s="694" t="s">
        <v>11</v>
      </c>
      <c r="D131" s="506"/>
      <c r="E131" s="619"/>
      <c r="F131" s="619"/>
      <c r="G131"/>
      <c r="H131" s="619"/>
      <c r="I131" s="619"/>
      <c r="J131" s="619"/>
      <c r="K131" s="619"/>
      <c r="L131" s="619"/>
      <c r="M131" s="619"/>
      <c r="N131" s="619"/>
      <c r="O131" s="619"/>
      <c r="P131" s="619"/>
      <c r="Q131" s="619"/>
      <c r="R131" s="527"/>
    </row>
    <row r="132" spans="1:18" ht="15" customHeight="1">
      <c r="B132" s="625" t="s">
        <v>341</v>
      </c>
      <c r="C132" s="693" t="s">
        <v>10</v>
      </c>
      <c r="D132" s="506"/>
      <c r="E132" s="619"/>
      <c r="F132" s="619"/>
      <c r="G132"/>
      <c r="H132" s="619"/>
      <c r="I132" s="619"/>
      <c r="J132" s="619"/>
      <c r="K132" s="619"/>
      <c r="L132" s="619"/>
      <c r="M132" s="619"/>
      <c r="N132" s="619"/>
      <c r="O132" s="619"/>
      <c r="P132" s="619"/>
      <c r="Q132" s="619"/>
      <c r="R132" s="527"/>
    </row>
    <row r="133" spans="1:18" ht="15" customHeight="1">
      <c r="B133" s="627" t="s">
        <v>342</v>
      </c>
      <c r="C133" s="692" t="s">
        <v>9</v>
      </c>
      <c r="D133" s="506"/>
      <c r="E133" s="506" t="s">
        <v>549</v>
      </c>
      <c r="F133" s="506"/>
      <c r="G133"/>
      <c r="H133" s="619"/>
      <c r="I133" s="619"/>
      <c r="J133" s="619"/>
      <c r="K133" s="619"/>
      <c r="L133" s="619"/>
      <c r="M133" s="619"/>
      <c r="N133" s="619"/>
      <c r="O133" s="619"/>
      <c r="P133" s="619"/>
      <c r="Q133" s="619"/>
      <c r="R133" s="527"/>
    </row>
    <row r="134" spans="1:18" ht="5.25" customHeight="1">
      <c r="B134" s="299"/>
      <c r="C134" s="37"/>
      <c r="D134" s="37"/>
      <c r="E134" s="37"/>
      <c r="F134" s="37"/>
      <c r="G134"/>
      <c r="H134" s="37"/>
      <c r="I134" s="37"/>
      <c r="J134" s="37"/>
      <c r="K134" s="37"/>
      <c r="L134" s="37"/>
      <c r="M134" s="37"/>
      <c r="N134" s="37"/>
      <c r="O134" s="37"/>
      <c r="P134" s="37"/>
      <c r="Q134" s="37"/>
      <c r="R134" s="527"/>
    </row>
    <row r="135" spans="1:18" ht="15" customHeight="1">
      <c r="A135" s="497"/>
      <c r="B135" s="559"/>
      <c r="C135" s="560" t="s">
        <v>330</v>
      </c>
      <c r="D135" s="560"/>
      <c r="E135" s="560"/>
      <c r="F135" s="561"/>
      <c r="G135"/>
      <c r="H135" s="615"/>
      <c r="I135" s="560"/>
      <c r="J135" s="560"/>
      <c r="K135" s="560"/>
      <c r="L135" s="560"/>
      <c r="M135" s="560"/>
      <c r="N135" s="560"/>
      <c r="O135" s="560"/>
      <c r="P135" s="560"/>
      <c r="Q135" s="561"/>
      <c r="R135" s="527"/>
    </row>
    <row r="136" spans="1:18" ht="15" customHeight="1">
      <c r="B136" s="628" t="s">
        <v>343</v>
      </c>
      <c r="C136" s="687" t="s">
        <v>240</v>
      </c>
      <c r="D136" s="506"/>
      <c r="E136" s="619"/>
      <c r="F136" s="619"/>
      <c r="G136"/>
      <c r="H136" s="619"/>
      <c r="I136" s="619"/>
      <c r="J136" s="619"/>
      <c r="K136" s="619"/>
      <c r="L136" s="619"/>
      <c r="M136" s="619"/>
      <c r="N136" s="619"/>
      <c r="O136" s="619"/>
      <c r="P136" s="619"/>
      <c r="Q136" s="619"/>
      <c r="R136" s="527"/>
    </row>
    <row r="137" spans="1:18" ht="15" customHeight="1">
      <c r="B137" s="625" t="s">
        <v>344</v>
      </c>
      <c r="C137" s="693" t="s">
        <v>8</v>
      </c>
      <c r="D137" s="506"/>
      <c r="E137" s="619"/>
      <c r="F137" s="506" t="s">
        <v>550</v>
      </c>
      <c r="G137"/>
      <c r="H137" s="619"/>
      <c r="I137" s="619"/>
      <c r="J137" s="619"/>
      <c r="K137" s="619"/>
      <c r="L137" s="619"/>
      <c r="M137" s="619"/>
      <c r="N137" s="619"/>
      <c r="O137" s="619"/>
      <c r="P137" s="619"/>
      <c r="Q137" s="619"/>
      <c r="R137" s="527"/>
    </row>
    <row r="138" spans="1:18" ht="15" customHeight="1">
      <c r="B138" s="611"/>
      <c r="C138" s="612"/>
      <c r="D138" s="613"/>
      <c r="E138" s="614"/>
      <c r="F138" s="614"/>
      <c r="H138" s="629"/>
      <c r="I138" s="629"/>
      <c r="J138" s="629"/>
      <c r="K138" s="629"/>
      <c r="L138" s="629"/>
      <c r="M138" s="629"/>
      <c r="N138" s="629"/>
      <c r="O138" s="629"/>
      <c r="P138" s="629"/>
      <c r="Q138" s="630"/>
      <c r="R138" s="527"/>
    </row>
    <row r="139" spans="1:18" s="3" customFormat="1" ht="15" customHeight="1">
      <c r="B139" s="498"/>
      <c r="C139" s="538" t="s">
        <v>217</v>
      </c>
      <c r="D139" s="538"/>
      <c r="E139" s="538"/>
      <c r="F139" s="500"/>
      <c r="H139" s="498"/>
      <c r="I139" s="539"/>
      <c r="J139" s="539"/>
      <c r="K139" s="539"/>
      <c r="L139" s="539"/>
      <c r="M139" s="539"/>
      <c r="N139" s="539"/>
      <c r="O139" s="539"/>
      <c r="P139" s="539"/>
      <c r="Q139" s="540"/>
    </row>
    <row r="140" spans="1:18" s="3" customFormat="1" ht="3.75" customHeight="1">
      <c r="H140" s="6"/>
      <c r="I140" s="6"/>
      <c r="J140" s="6"/>
      <c r="K140" s="6"/>
      <c r="L140" s="6"/>
      <c r="M140" s="6"/>
      <c r="N140" s="6"/>
      <c r="O140" s="6"/>
      <c r="P140" s="6"/>
      <c r="Q140" s="6"/>
    </row>
    <row r="141" spans="1:18" s="565" customFormat="1" ht="15" customHeight="1">
      <c r="B141" s="559"/>
      <c r="C141" s="560" t="s">
        <v>230</v>
      </c>
      <c r="D141" s="560"/>
      <c r="E141" s="560"/>
      <c r="F141" s="561"/>
      <c r="G141" s="3"/>
      <c r="H141" s="559"/>
      <c r="I141" s="562"/>
      <c r="J141" s="562"/>
      <c r="K141" s="562"/>
      <c r="L141" s="562"/>
      <c r="M141" s="562"/>
      <c r="N141" s="562"/>
      <c r="O141" s="562"/>
      <c r="P141" s="562"/>
      <c r="Q141" s="563"/>
    </row>
    <row r="142" spans="1:18" ht="15" customHeight="1">
      <c r="A142" s="497"/>
      <c r="B142" s="505" t="s">
        <v>2</v>
      </c>
      <c r="C142" s="506" t="s">
        <v>227</v>
      </c>
      <c r="D142" s="506"/>
      <c r="E142" s="506"/>
      <c r="F142" s="544" t="s">
        <v>177</v>
      </c>
      <c r="H142" s="568">
        <v>0.05</v>
      </c>
      <c r="I142" s="568">
        <f t="shared" ref="I142:P143" si="22">H142</f>
        <v>0.05</v>
      </c>
      <c r="J142" s="568">
        <f t="shared" si="22"/>
        <v>0.05</v>
      </c>
      <c r="K142" s="568">
        <f>I142</f>
        <v>0.05</v>
      </c>
      <c r="L142" s="568">
        <f t="shared" si="22"/>
        <v>0.05</v>
      </c>
      <c r="M142" s="568">
        <f t="shared" si="22"/>
        <v>0.05</v>
      </c>
      <c r="N142" s="568">
        <f t="shared" si="22"/>
        <v>0.05</v>
      </c>
      <c r="O142" s="568">
        <f t="shared" si="22"/>
        <v>0.05</v>
      </c>
      <c r="P142" s="568">
        <f t="shared" si="22"/>
        <v>0.05</v>
      </c>
      <c r="Q142" s="568">
        <f t="shared" ref="Q142:Q143" si="23">IFERROR(ROUND(IF($Q$17="Simples",
INDEX(H142:P142,MATCH($Q$18,$H$18:$P$18,1)),
INDEX(H142:P142,MATCH($Q$17,$H$15:$P$15,0))
),4),"")</f>
        <v>0.05</v>
      </c>
      <c r="R142" s="527"/>
    </row>
    <row r="143" spans="1:18" ht="15" customHeight="1">
      <c r="A143" s="497"/>
      <c r="B143" s="505" t="s">
        <v>1</v>
      </c>
      <c r="C143" s="506" t="s">
        <v>228</v>
      </c>
      <c r="D143" s="506"/>
      <c r="E143" s="506"/>
      <c r="F143" s="544" t="s">
        <v>176</v>
      </c>
      <c r="H143" s="568">
        <v>0.1</v>
      </c>
      <c r="I143" s="568">
        <f t="shared" si="22"/>
        <v>0.1</v>
      </c>
      <c r="J143" s="568">
        <f t="shared" si="22"/>
        <v>0.1</v>
      </c>
      <c r="K143" s="568">
        <f>I143</f>
        <v>0.1</v>
      </c>
      <c r="L143" s="568">
        <f t="shared" si="22"/>
        <v>0.1</v>
      </c>
      <c r="M143" s="568">
        <f t="shared" si="22"/>
        <v>0.1</v>
      </c>
      <c r="N143" s="568">
        <f t="shared" si="22"/>
        <v>0.1</v>
      </c>
      <c r="O143" s="568">
        <f t="shared" si="22"/>
        <v>0.1</v>
      </c>
      <c r="P143" s="568">
        <f t="shared" si="22"/>
        <v>0.1</v>
      </c>
      <c r="Q143" s="568">
        <f t="shared" si="23"/>
        <v>0.1</v>
      </c>
      <c r="R143" s="527"/>
    </row>
    <row r="144" spans="1:18" customFormat="1" ht="3.75" customHeight="1">
      <c r="H144" s="12"/>
      <c r="I144" s="12"/>
      <c r="J144" s="12"/>
      <c r="K144" s="12"/>
      <c r="L144" s="12"/>
      <c r="M144" s="12"/>
      <c r="N144" s="12"/>
      <c r="O144" s="12"/>
      <c r="P144" s="12"/>
      <c r="Q144" s="12"/>
    </row>
    <row r="145" spans="1:18" s="565" customFormat="1" ht="15" customHeight="1">
      <c r="B145" s="559"/>
      <c r="C145" s="560" t="s">
        <v>309</v>
      </c>
      <c r="D145" s="560"/>
      <c r="E145" s="560"/>
      <c r="F145" s="561"/>
      <c r="G145" s="3"/>
      <c r="H145" s="559"/>
      <c r="I145" s="562"/>
      <c r="J145" s="562"/>
      <c r="K145" s="562"/>
      <c r="L145" s="562"/>
      <c r="M145" s="562"/>
      <c r="N145" s="562"/>
      <c r="O145" s="562"/>
      <c r="P145" s="562"/>
      <c r="Q145" s="563"/>
    </row>
    <row r="146" spans="1:18" ht="15" customHeight="1">
      <c r="A146" s="497"/>
      <c r="B146" s="541" t="s">
        <v>2</v>
      </c>
      <c r="C146" s="542" t="s">
        <v>43</v>
      </c>
      <c r="D146" s="506"/>
      <c r="E146" s="506"/>
      <c r="F146" s="544" t="s">
        <v>175</v>
      </c>
      <c r="H146" s="568">
        <v>0.03</v>
      </c>
      <c r="I146" s="568">
        <v>7.5999999999999998E-2</v>
      </c>
      <c r="J146" s="568"/>
      <c r="K146" s="568" t="str">
        <f>IFERROR(((Proposta!$J$10*K$19-K$18)/Proposta!$J$10)*12.82%,"")</f>
        <v/>
      </c>
      <c r="L146" s="568" t="str">
        <f>IFERROR(((Proposta!$J$10*L$19-L$18)/Proposta!$J$10)*14.05%,"")</f>
        <v/>
      </c>
      <c r="M146" s="568" t="str">
        <f>IFERROR(((Proposta!$J$10*M$19-M$18)/Proposta!$J$10)*13.64%,"")</f>
        <v/>
      </c>
      <c r="N146" s="568" t="str">
        <f>IFERROR(((Proposta!$J$10*N$19-N$18)/Proposta!$J$10)*14%,"")</f>
        <v/>
      </c>
      <c r="O146" s="568" t="str">
        <f>IFERROR(((Proposta!$J$10*O$19-O$18)/Proposta!$J$10)*12.82%,"")</f>
        <v/>
      </c>
      <c r="P146" s="568" t="str">
        <f>IFERROR(((Proposta!$J$10*P$19-P$18)/Proposta!$J$10)*16.03%,"")</f>
        <v/>
      </c>
      <c r="Q146" s="568">
        <f t="shared" ref="Q146:Q149" si="24">IFERROR(ROUND(IF($Q$17="Simples",
INDEX(H146:P146,MATCH($Q$18,$H$18:$P$18,1)),
INDEX(H146:P146,MATCH($Q$17,$H$15:$P$15,0))
),4),"")</f>
        <v>0.03</v>
      </c>
      <c r="R146" s="527"/>
    </row>
    <row r="147" spans="1:18" ht="15" customHeight="1">
      <c r="A147" s="497"/>
      <c r="B147" s="541" t="s">
        <v>1</v>
      </c>
      <c r="C147" s="542" t="s">
        <v>107</v>
      </c>
      <c r="D147" s="506"/>
      <c r="E147" s="506"/>
      <c r="F147" s="544" t="s">
        <v>175</v>
      </c>
      <c r="H147" s="568">
        <v>6.4999999999999997E-3</v>
      </c>
      <c r="I147" s="568">
        <v>1.6500000000000001E-2</v>
      </c>
      <c r="J147" s="568">
        <v>6.4999999999999997E-3</v>
      </c>
      <c r="K147" s="568" t="str">
        <f>IFERROR(((Proposta!$J$10*K$19-K$18)/Proposta!$J$10)*2.78%,"")</f>
        <v/>
      </c>
      <c r="L147" s="568" t="str">
        <f>IFERROR(((Proposta!$J$10*L$19-L$18)/Proposta!$J$10)*3.05%,"")</f>
        <v/>
      </c>
      <c r="M147" s="568" t="str">
        <f>IFERROR(((Proposta!$J$10*M$19-M$18)/Proposta!$J$10)*2.96%,"")</f>
        <v/>
      </c>
      <c r="N147" s="568" t="str">
        <f>IFERROR(((Proposta!$J$10*N$19-N$18)/Proposta!$J$10)*3%,"")</f>
        <v/>
      </c>
      <c r="O147" s="568" t="str">
        <f>IFERROR(((Proposta!$J$10*O$19-O$18)/Proposta!$J$10)*2.78%,"")</f>
        <v/>
      </c>
      <c r="P147" s="568" t="str">
        <f>IFERROR(((Proposta!$J$10*P$19-P$18)/Proposta!$J$10)*3.47%,"")</f>
        <v/>
      </c>
      <c r="Q147" s="568">
        <f t="shared" si="24"/>
        <v>6.4999999999999997E-3</v>
      </c>
      <c r="R147" s="527"/>
    </row>
    <row r="148" spans="1:18" ht="15" customHeight="1">
      <c r="A148" s="497"/>
      <c r="B148" s="541" t="s">
        <v>0</v>
      </c>
      <c r="C148" s="542" t="s">
        <v>44</v>
      </c>
      <c r="D148" s="506"/>
      <c r="E148" s="506" t="s">
        <v>729</v>
      </c>
      <c r="F148" s="544" t="s">
        <v>175</v>
      </c>
      <c r="H148" s="568">
        <v>0.05</v>
      </c>
      <c r="I148" s="568">
        <v>0.05</v>
      </c>
      <c r="J148" s="568">
        <v>2.5000000000000001E-2</v>
      </c>
      <c r="K148" s="568" t="str">
        <f>IFERROR(((Proposta!$J$10*K$19-K$18)/Proposta!$J$10)*33.5%,"")</f>
        <v/>
      </c>
      <c r="L148" s="568" t="str">
        <f>IFERROR(((Proposta!$J$10*L$19-L$18)/Proposta!$J$10)*32%,"")</f>
        <v/>
      </c>
      <c r="M148" s="568" t="str">
        <f>IFERROR(((Proposta!$J$10*M$19-M$18)/Proposta!$J$10)*32.5%,"")</f>
        <v/>
      </c>
      <c r="N148" s="568" t="str">
        <f>IFERROR(((Proposta!$J$10*N$19-N$18)/Proposta!$J$10)*33%,"")</f>
        <v/>
      </c>
      <c r="O148" s="568" t="str">
        <f>IFERROR(((Proposta!$J$10*O$19-O$18)/Proposta!$J$10)*33.5%,"")</f>
        <v/>
      </c>
      <c r="P148" s="568" t="str">
        <f>IFERROR(((Proposta!$J$10*P$19-P$18)/Proposta!$J$10)*30.5%,"")</f>
        <v/>
      </c>
      <c r="Q148" s="568">
        <f t="shared" si="24"/>
        <v>0.05</v>
      </c>
      <c r="R148" s="527"/>
    </row>
    <row r="149" spans="1:18" ht="15" customHeight="1">
      <c r="B149" s="541" t="s">
        <v>3</v>
      </c>
      <c r="C149" s="542" t="s">
        <v>303</v>
      </c>
      <c r="D149" s="506"/>
      <c r="E149" s="506"/>
      <c r="F149" s="544"/>
      <c r="H149" s="609"/>
      <c r="I149" s="609"/>
      <c r="J149" s="609"/>
      <c r="K149" s="609"/>
      <c r="L149" s="609"/>
      <c r="M149" s="609"/>
      <c r="N149" s="609"/>
      <c r="O149" s="609"/>
      <c r="P149" s="609"/>
      <c r="Q149" s="610">
        <f t="shared" si="24"/>
        <v>0</v>
      </c>
    </row>
    <row r="151" spans="1:18" ht="15" customHeight="1">
      <c r="B151" s="498"/>
      <c r="C151" s="538" t="s">
        <v>380</v>
      </c>
      <c r="D151" s="538"/>
      <c r="E151" s="538"/>
      <c r="F151" s="500"/>
      <c r="G151" s="3"/>
      <c r="H151" s="498"/>
      <c r="I151" s="539"/>
      <c r="J151" s="539"/>
      <c r="K151" s="539"/>
      <c r="L151" s="539"/>
      <c r="M151" s="539"/>
      <c r="N151" s="539"/>
      <c r="O151" s="539"/>
      <c r="P151" s="539"/>
      <c r="Q151" s="540"/>
    </row>
    <row r="152" spans="1:18" ht="4.5" customHeight="1">
      <c r="B152" s="3"/>
      <c r="C152" s="3"/>
      <c r="D152" s="3"/>
      <c r="E152" s="3"/>
      <c r="F152" s="3"/>
      <c r="G152" s="3"/>
      <c r="H152" s="6"/>
      <c r="I152" s="6"/>
      <c r="J152" s="6"/>
      <c r="K152" s="6"/>
      <c r="L152" s="6"/>
      <c r="M152" s="6"/>
      <c r="N152" s="6"/>
      <c r="O152" s="6"/>
      <c r="P152" s="6"/>
      <c r="Q152" s="6"/>
    </row>
    <row r="153" spans="1:18" ht="15" customHeight="1">
      <c r="B153" s="559"/>
      <c r="C153" s="560" t="s">
        <v>391</v>
      </c>
      <c r="D153" s="560"/>
      <c r="E153" s="560"/>
      <c r="F153" s="561"/>
      <c r="G153" s="3"/>
      <c r="H153" s="559"/>
      <c r="I153" s="562"/>
      <c r="J153" s="562"/>
      <c r="K153" s="562"/>
      <c r="L153" s="562"/>
      <c r="M153" s="562"/>
      <c r="N153" s="562"/>
      <c r="O153" s="562"/>
      <c r="P153" s="562"/>
      <c r="Q153" s="631"/>
      <c r="R153" s="527"/>
    </row>
    <row r="154" spans="1:18" ht="15" customHeight="1">
      <c r="B154" s="632" t="s">
        <v>2</v>
      </c>
      <c r="C154" s="633" t="s">
        <v>358</v>
      </c>
      <c r="D154" s="506"/>
      <c r="E154" s="506" t="s">
        <v>551</v>
      </c>
      <c r="F154" s="544" t="s">
        <v>652</v>
      </c>
      <c r="H154" s="568"/>
      <c r="I154" s="568"/>
      <c r="J154" s="568"/>
      <c r="K154" s="568"/>
      <c r="L154" s="568"/>
      <c r="M154" s="568"/>
      <c r="N154" s="568"/>
      <c r="O154" s="568"/>
      <c r="P154" s="568"/>
      <c r="Q154" s="634">
        <v>800</v>
      </c>
    </row>
    <row r="155" spans="1:18" ht="15" customHeight="1">
      <c r="B155" s="632" t="s">
        <v>1</v>
      </c>
      <c r="C155" s="633" t="s">
        <v>359</v>
      </c>
      <c r="D155" s="506"/>
      <c r="E155" s="506" t="s">
        <v>551</v>
      </c>
      <c r="F155" s="544"/>
      <c r="H155" s="568"/>
      <c r="I155" s="568"/>
      <c r="J155" s="568"/>
      <c r="K155" s="568"/>
      <c r="L155" s="568"/>
      <c r="M155" s="568"/>
      <c r="N155" s="568"/>
      <c r="O155" s="568"/>
      <c r="P155" s="568"/>
      <c r="Q155" s="634">
        <v>800</v>
      </c>
    </row>
    <row r="156" spans="1:18" ht="15" customHeight="1">
      <c r="B156" s="632" t="s">
        <v>0</v>
      </c>
      <c r="C156" s="633" t="s">
        <v>360</v>
      </c>
      <c r="D156" s="506"/>
      <c r="E156" s="506" t="s">
        <v>551</v>
      </c>
      <c r="F156" s="544"/>
      <c r="H156" s="568"/>
      <c r="I156" s="568"/>
      <c r="J156" s="568"/>
      <c r="K156" s="568"/>
      <c r="L156" s="568"/>
      <c r="M156" s="568"/>
      <c r="N156" s="568"/>
      <c r="O156" s="568"/>
      <c r="P156" s="568"/>
      <c r="Q156" s="634">
        <v>360</v>
      </c>
    </row>
    <row r="157" spans="1:18" ht="15" customHeight="1">
      <c r="B157" s="632" t="s">
        <v>3</v>
      </c>
      <c r="C157" s="633" t="s">
        <v>361</v>
      </c>
      <c r="D157" s="506"/>
      <c r="E157" s="506" t="s">
        <v>551</v>
      </c>
      <c r="F157" s="544"/>
      <c r="H157" s="568"/>
      <c r="I157" s="568"/>
      <c r="J157" s="568"/>
      <c r="K157" s="568"/>
      <c r="L157" s="568"/>
      <c r="M157" s="568"/>
      <c r="N157" s="568"/>
      <c r="O157" s="568"/>
      <c r="P157" s="568"/>
      <c r="Q157" s="634">
        <v>1500</v>
      </c>
    </row>
    <row r="158" spans="1:18" ht="15" customHeight="1">
      <c r="B158" s="632" t="s">
        <v>7</v>
      </c>
      <c r="C158" s="633" t="s">
        <v>356</v>
      </c>
      <c r="D158" s="506"/>
      <c r="E158" s="506" t="s">
        <v>551</v>
      </c>
      <c r="F158" s="544"/>
      <c r="H158" s="568"/>
      <c r="I158" s="568"/>
      <c r="J158" s="568"/>
      <c r="K158" s="568"/>
      <c r="L158" s="568"/>
      <c r="M158" s="568"/>
      <c r="N158" s="568"/>
      <c r="O158" s="568"/>
      <c r="P158" s="568"/>
      <c r="Q158" s="634">
        <v>1200</v>
      </c>
    </row>
    <row r="159" spans="1:18" ht="15" customHeight="1">
      <c r="B159" s="632" t="s">
        <v>6</v>
      </c>
      <c r="C159" s="635" t="s">
        <v>389</v>
      </c>
      <c r="D159" s="506"/>
      <c r="E159" s="506" t="s">
        <v>551</v>
      </c>
      <c r="F159" s="544"/>
      <c r="H159" s="568"/>
      <c r="I159" s="568"/>
      <c r="J159" s="568"/>
      <c r="K159" s="568"/>
      <c r="L159" s="568"/>
      <c r="M159" s="568"/>
      <c r="N159" s="568"/>
      <c r="O159" s="568"/>
      <c r="P159" s="568"/>
      <c r="Q159" s="634">
        <v>1000</v>
      </c>
    </row>
    <row r="160" spans="1:18" ht="15" customHeight="1">
      <c r="B160" s="632" t="s">
        <v>5</v>
      </c>
      <c r="C160" s="635" t="s">
        <v>390</v>
      </c>
      <c r="D160" s="506"/>
      <c r="E160" s="506" t="s">
        <v>551</v>
      </c>
      <c r="F160" s="544"/>
      <c r="H160" s="568"/>
      <c r="I160" s="568"/>
      <c r="J160" s="568"/>
      <c r="K160" s="568"/>
      <c r="L160" s="568"/>
      <c r="M160" s="568"/>
      <c r="N160" s="568"/>
      <c r="O160" s="568"/>
      <c r="P160" s="568"/>
      <c r="Q160" s="634">
        <v>200</v>
      </c>
    </row>
    <row r="161" spans="2:18" ht="4.5" customHeight="1">
      <c r="C161" s="401"/>
      <c r="Q161" s="636"/>
    </row>
    <row r="162" spans="2:18" ht="15" customHeight="1">
      <c r="B162" s="559"/>
      <c r="C162" s="560" t="s">
        <v>392</v>
      </c>
      <c r="D162" s="560"/>
      <c r="E162" s="560"/>
      <c r="F162" s="561"/>
      <c r="G162" s="3"/>
      <c r="H162" s="559"/>
      <c r="I162" s="562"/>
      <c r="J162" s="562"/>
      <c r="K162" s="562"/>
      <c r="L162" s="562"/>
      <c r="M162" s="562"/>
      <c r="N162" s="562"/>
      <c r="O162" s="562"/>
      <c r="P162" s="562"/>
      <c r="Q162" s="637"/>
      <c r="R162" s="527"/>
    </row>
    <row r="163" spans="2:18" ht="15" customHeight="1">
      <c r="B163" s="632" t="s">
        <v>2</v>
      </c>
      <c r="C163" s="633" t="s">
        <v>362</v>
      </c>
      <c r="D163" s="506"/>
      <c r="E163" s="506" t="s">
        <v>551</v>
      </c>
      <c r="F163" s="544"/>
      <c r="H163" s="568"/>
      <c r="I163" s="568"/>
      <c r="J163" s="568"/>
      <c r="K163" s="568"/>
      <c r="L163" s="568"/>
      <c r="M163" s="568"/>
      <c r="N163" s="568"/>
      <c r="O163" s="568"/>
      <c r="P163" s="568"/>
      <c r="Q163" s="634">
        <v>1800</v>
      </c>
    </row>
    <row r="164" spans="2:18" ht="15" customHeight="1">
      <c r="B164" s="632" t="s">
        <v>1</v>
      </c>
      <c r="C164" s="633" t="s">
        <v>357</v>
      </c>
      <c r="D164" s="506"/>
      <c r="E164" s="506" t="s">
        <v>551</v>
      </c>
      <c r="F164" s="544"/>
      <c r="H164" s="568"/>
      <c r="I164" s="568"/>
      <c r="J164" s="568"/>
      <c r="K164" s="568"/>
      <c r="L164" s="568"/>
      <c r="M164" s="568"/>
      <c r="N164" s="568"/>
      <c r="O164" s="568"/>
      <c r="P164" s="568"/>
      <c r="Q164" s="634">
        <v>6000</v>
      </c>
    </row>
    <row r="165" spans="2:18" ht="15" customHeight="1">
      <c r="B165" s="632" t="s">
        <v>0</v>
      </c>
      <c r="C165" s="633" t="s">
        <v>363</v>
      </c>
      <c r="D165" s="506"/>
      <c r="E165" s="686" t="s">
        <v>551</v>
      </c>
      <c r="F165" s="544"/>
      <c r="H165" s="568"/>
      <c r="I165" s="568"/>
      <c r="J165" s="568"/>
      <c r="K165" s="568"/>
      <c r="L165" s="568"/>
      <c r="M165" s="568"/>
      <c r="N165" s="568"/>
      <c r="O165" s="568"/>
      <c r="P165" s="568"/>
      <c r="Q165" s="634">
        <v>1800</v>
      </c>
    </row>
    <row r="166" spans="2:18" ht="15" customHeight="1">
      <c r="B166" s="632" t="s">
        <v>3</v>
      </c>
      <c r="C166" s="633" t="s">
        <v>364</v>
      </c>
      <c r="D166" s="506"/>
      <c r="E166" s="686" t="s">
        <v>551</v>
      </c>
      <c r="F166" s="544"/>
      <c r="H166" s="568"/>
      <c r="I166" s="568"/>
      <c r="J166" s="568"/>
      <c r="K166" s="568"/>
      <c r="L166" s="568"/>
      <c r="M166" s="568"/>
      <c r="N166" s="568"/>
      <c r="O166" s="568"/>
      <c r="P166" s="568"/>
      <c r="Q166" s="634">
        <v>1800</v>
      </c>
    </row>
    <row r="167" spans="2:18" ht="15" customHeight="1">
      <c r="B167" s="632" t="s">
        <v>7</v>
      </c>
      <c r="C167" s="633" t="s">
        <v>365</v>
      </c>
      <c r="D167" s="506"/>
      <c r="E167" s="686" t="s">
        <v>551</v>
      </c>
      <c r="F167" s="544"/>
      <c r="H167" s="568"/>
      <c r="I167" s="568"/>
      <c r="J167" s="568"/>
      <c r="K167" s="568"/>
      <c r="L167" s="568"/>
      <c r="M167" s="568"/>
      <c r="N167" s="568"/>
      <c r="O167" s="568"/>
      <c r="P167" s="568"/>
      <c r="Q167" s="634">
        <v>1800</v>
      </c>
    </row>
    <row r="168" spans="2:18" ht="15" customHeight="1">
      <c r="B168" s="632" t="s">
        <v>6</v>
      </c>
      <c r="C168" s="633" t="s">
        <v>366</v>
      </c>
      <c r="D168" s="506"/>
      <c r="E168" s="506" t="s">
        <v>551</v>
      </c>
      <c r="F168" s="544"/>
      <c r="H168" s="568"/>
      <c r="I168" s="568"/>
      <c r="J168" s="568"/>
      <c r="K168" s="568"/>
      <c r="L168" s="568"/>
      <c r="M168" s="568"/>
      <c r="N168" s="568"/>
      <c r="O168" s="568"/>
      <c r="P168" s="568"/>
      <c r="Q168" s="634">
        <v>100000</v>
      </c>
    </row>
    <row r="169" spans="2:18" ht="4.5" customHeight="1">
      <c r="C169" s="401"/>
      <c r="Q169" s="636"/>
    </row>
    <row r="170" spans="2:18" ht="15" customHeight="1">
      <c r="B170" s="559"/>
      <c r="C170" s="560" t="s">
        <v>393</v>
      </c>
      <c r="D170" s="560"/>
      <c r="E170" s="560"/>
      <c r="F170" s="561"/>
      <c r="G170" s="3"/>
      <c r="H170" s="559"/>
      <c r="I170" s="562"/>
      <c r="J170" s="562"/>
      <c r="K170" s="562"/>
      <c r="L170" s="562"/>
      <c r="M170" s="562"/>
      <c r="N170" s="562"/>
      <c r="O170" s="562"/>
      <c r="P170" s="562"/>
      <c r="Q170" s="637"/>
      <c r="R170" s="527"/>
    </row>
    <row r="171" spans="2:18" ht="15" customHeight="1">
      <c r="B171" s="632" t="s">
        <v>2</v>
      </c>
      <c r="C171" s="635" t="s">
        <v>385</v>
      </c>
      <c r="D171" s="506"/>
      <c r="E171" s="506" t="s">
        <v>551</v>
      </c>
      <c r="F171" s="544"/>
      <c r="H171" s="568"/>
      <c r="I171" s="568"/>
      <c r="J171" s="568"/>
      <c r="K171" s="568"/>
      <c r="L171" s="568"/>
      <c r="M171" s="568"/>
      <c r="N171" s="568"/>
      <c r="O171" s="568"/>
      <c r="P171" s="568"/>
      <c r="Q171" s="634">
        <v>130</v>
      </c>
    </row>
    <row r="172" spans="2:18" ht="15" customHeight="1">
      <c r="B172" s="632" t="s">
        <v>1</v>
      </c>
      <c r="C172" s="635" t="s">
        <v>386</v>
      </c>
      <c r="D172" s="506"/>
      <c r="E172" s="506" t="s">
        <v>551</v>
      </c>
      <c r="F172" s="544"/>
      <c r="H172" s="568"/>
      <c r="I172" s="568"/>
      <c r="J172" s="568"/>
      <c r="K172" s="568"/>
      <c r="L172" s="568"/>
      <c r="M172" s="568"/>
      <c r="N172" s="568"/>
      <c r="O172" s="568"/>
      <c r="P172" s="568"/>
      <c r="Q172" s="634">
        <v>300</v>
      </c>
    </row>
    <row r="173" spans="2:18" ht="15" customHeight="1">
      <c r="B173" s="632" t="s">
        <v>0</v>
      </c>
      <c r="C173" s="635" t="s">
        <v>387</v>
      </c>
      <c r="D173" s="506"/>
      <c r="E173" s="506" t="s">
        <v>551</v>
      </c>
      <c r="F173" s="544"/>
      <c r="H173" s="568"/>
      <c r="I173" s="568"/>
      <c r="J173" s="568"/>
      <c r="K173" s="568"/>
      <c r="L173" s="568"/>
      <c r="M173" s="568"/>
      <c r="N173" s="568"/>
      <c r="O173" s="568"/>
      <c r="P173" s="568"/>
      <c r="Q173" s="634">
        <v>300</v>
      </c>
    </row>
    <row r="174" spans="2:18" ht="4.5" customHeight="1">
      <c r="C174" s="401"/>
      <c r="Q174" s="636"/>
    </row>
    <row r="175" spans="2:18" ht="15" customHeight="1">
      <c r="B175" s="559"/>
      <c r="C175" s="560" t="s">
        <v>394</v>
      </c>
      <c r="D175" s="560"/>
      <c r="E175" s="560"/>
      <c r="F175" s="561"/>
      <c r="G175" s="3"/>
      <c r="H175" s="559"/>
      <c r="I175" s="562"/>
      <c r="J175" s="562"/>
      <c r="K175" s="562"/>
      <c r="L175" s="562"/>
      <c r="M175" s="562"/>
      <c r="N175" s="562"/>
      <c r="O175" s="562"/>
      <c r="P175" s="562"/>
      <c r="Q175" s="637"/>
      <c r="R175" s="527"/>
    </row>
    <row r="176" spans="2:18" ht="15" customHeight="1">
      <c r="B176" s="632" t="s">
        <v>2</v>
      </c>
      <c r="C176" s="633" t="s">
        <v>371</v>
      </c>
      <c r="D176" s="506"/>
      <c r="E176" s="506" t="s">
        <v>551</v>
      </c>
      <c r="F176" s="544"/>
      <c r="H176" s="568"/>
      <c r="I176" s="568"/>
      <c r="J176" s="568"/>
      <c r="K176" s="568"/>
      <c r="L176" s="568"/>
      <c r="M176" s="568"/>
      <c r="N176" s="568"/>
      <c r="O176" s="568"/>
      <c r="P176" s="568"/>
      <c r="Q176" s="634">
        <v>130</v>
      </c>
    </row>
    <row r="177" spans="2:19" ht="4.5" customHeight="1">
      <c r="C177" s="401"/>
      <c r="Q177" s="636"/>
    </row>
    <row r="178" spans="2:19" ht="15" customHeight="1">
      <c r="B178" s="559"/>
      <c r="C178" s="560" t="s">
        <v>395</v>
      </c>
      <c r="D178" s="560"/>
      <c r="E178" s="560"/>
      <c r="F178" s="561"/>
      <c r="G178" s="3"/>
      <c r="H178" s="559"/>
      <c r="I178" s="562"/>
      <c r="J178" s="562"/>
      <c r="K178" s="562"/>
      <c r="L178" s="562"/>
      <c r="M178" s="562"/>
      <c r="N178" s="562"/>
      <c r="O178" s="562"/>
      <c r="P178" s="562"/>
      <c r="Q178" s="637"/>
      <c r="R178" s="527"/>
    </row>
    <row r="179" spans="2:19" ht="15" customHeight="1">
      <c r="B179" s="632" t="s">
        <v>2</v>
      </c>
      <c r="C179" s="633" t="s">
        <v>372</v>
      </c>
      <c r="D179" s="506"/>
      <c r="E179" s="506" t="s">
        <v>551</v>
      </c>
      <c r="F179" s="544"/>
      <c r="H179" s="568"/>
      <c r="I179" s="568"/>
      <c r="J179" s="568"/>
      <c r="K179" s="568"/>
      <c r="L179" s="568"/>
      <c r="M179" s="568"/>
      <c r="N179" s="568"/>
      <c r="O179" s="568"/>
      <c r="P179" s="568"/>
      <c r="Q179" s="634">
        <v>360</v>
      </c>
    </row>
    <row r="181" spans="2:19" ht="15" customHeight="1">
      <c r="B181" s="498"/>
      <c r="C181" s="538" t="s">
        <v>737</v>
      </c>
      <c r="D181" s="538"/>
      <c r="E181" s="538"/>
      <c r="F181" s="500"/>
      <c r="G181" s="3"/>
      <c r="H181" s="498"/>
      <c r="I181" s="539"/>
      <c r="J181" s="539"/>
      <c r="K181" s="539"/>
      <c r="L181" s="539"/>
      <c r="M181" s="539"/>
      <c r="N181" s="539"/>
      <c r="O181" s="539"/>
      <c r="P181" s="539"/>
      <c r="Q181" s="540"/>
    </row>
    <row r="182" spans="2:19" ht="4.5" customHeight="1">
      <c r="B182" s="3"/>
      <c r="C182" s="3"/>
      <c r="D182" s="3"/>
      <c r="E182" s="3"/>
      <c r="F182" s="3"/>
      <c r="G182" s="3"/>
      <c r="H182" s="6"/>
      <c r="I182" s="6"/>
      <c r="J182" s="6"/>
      <c r="K182" s="6"/>
      <c r="L182" s="6"/>
      <c r="M182" s="6"/>
      <c r="N182" s="6"/>
      <c r="O182" s="6"/>
      <c r="P182" s="6"/>
      <c r="Q182" s="6"/>
    </row>
    <row r="183" spans="2:19" ht="15" customHeight="1">
      <c r="B183" s="559"/>
      <c r="C183" s="560" t="s">
        <v>738</v>
      </c>
      <c r="D183" s="560"/>
      <c r="E183" s="560"/>
      <c r="F183" s="561"/>
    </row>
    <row r="184" spans="2:19" ht="15" customHeight="1">
      <c r="B184" s="566"/>
      <c r="C184" s="567"/>
      <c r="D184" s="543"/>
      <c r="E184" s="544"/>
      <c r="F184" s="544" t="s">
        <v>740</v>
      </c>
    </row>
    <row r="185" spans="2:19" ht="4.5" customHeight="1">
      <c r="C185" s="401"/>
      <c r="H185" s="522"/>
      <c r="I185" s="522"/>
      <c r="J185" s="522"/>
      <c r="K185" s="522"/>
      <c r="L185" s="522"/>
      <c r="M185" s="522"/>
      <c r="N185" s="522"/>
      <c r="O185" s="522"/>
      <c r="P185" s="522"/>
      <c r="Q185" s="783"/>
      <c r="R185" s="784"/>
    </row>
    <row r="186" spans="2:19" ht="15" customHeight="1">
      <c r="B186" s="559"/>
      <c r="C186" s="560" t="s">
        <v>739</v>
      </c>
      <c r="D186" s="560"/>
      <c r="E186" s="560"/>
      <c r="F186" s="561"/>
      <c r="G186" s="3"/>
      <c r="H186" s="787"/>
      <c r="I186" s="787"/>
      <c r="J186" s="787"/>
      <c r="K186" s="787"/>
      <c r="L186" s="787"/>
      <c r="M186" s="787"/>
      <c r="N186" s="787"/>
      <c r="O186" s="787"/>
      <c r="P186" s="787"/>
      <c r="Q186" s="788"/>
      <c r="R186" s="35"/>
      <c r="S186" s="527"/>
    </row>
    <row r="187" spans="2:19" ht="15" customHeight="1">
      <c r="B187" s="632"/>
      <c r="C187" s="633"/>
      <c r="D187" s="506"/>
      <c r="E187" s="506"/>
      <c r="F187" s="544" t="s">
        <v>741</v>
      </c>
      <c r="H187" s="789"/>
      <c r="I187" s="789"/>
      <c r="J187" s="789"/>
      <c r="K187" s="789"/>
      <c r="L187" s="789"/>
      <c r="M187" s="789"/>
      <c r="N187" s="789"/>
      <c r="O187" s="789"/>
      <c r="P187" s="789"/>
      <c r="Q187" s="790"/>
      <c r="R187" s="35"/>
      <c r="S187" s="527"/>
    </row>
    <row r="188" spans="2:19" ht="15" customHeight="1">
      <c r="H188" s="791"/>
      <c r="I188" s="791"/>
      <c r="J188" s="791"/>
      <c r="K188" s="791"/>
      <c r="L188" s="791"/>
      <c r="M188" s="791"/>
      <c r="N188" s="791"/>
      <c r="O188" s="791"/>
      <c r="P188" s="791"/>
      <c r="Q188" s="791"/>
      <c r="R188" s="35"/>
      <c r="S188" s="527"/>
    </row>
    <row r="189" spans="2:19" ht="15" customHeight="1">
      <c r="H189" s="785"/>
      <c r="I189" s="785"/>
      <c r="J189" s="785"/>
      <c r="K189" s="785"/>
      <c r="L189" s="785"/>
      <c r="M189" s="785"/>
      <c r="N189" s="785"/>
      <c r="O189" s="785"/>
      <c r="P189" s="785"/>
      <c r="Q189" s="785"/>
      <c r="R189" s="786"/>
    </row>
  </sheetData>
  <sheetProtection algorithmName="SHA-512" hashValue="Olvkm9lAqLy5yajZtPh/w5l0Dm1ncVzZ2M3eq/Ku4vzxw2B0hTKsuyrr4IYYrX5MoMP9AGwTriaCkBLMgg/pyw==" saltValue="ji2K7dI6eK8cporCa5S3PQ==" spinCount="100000" sheet="1" objects="1" scenarios="1"/>
  <mergeCells count="12">
    <mergeCell ref="B111:B112"/>
    <mergeCell ref="E14:E16"/>
    <mergeCell ref="D14:D16"/>
    <mergeCell ref="C14:C16"/>
    <mergeCell ref="B14:B16"/>
    <mergeCell ref="B47:B49"/>
    <mergeCell ref="Q15:Q16"/>
    <mergeCell ref="H14:Q14"/>
    <mergeCell ref="I15:I16"/>
    <mergeCell ref="H15:H16"/>
    <mergeCell ref="F14:F16"/>
    <mergeCell ref="J15:J16"/>
  </mergeCells>
  <hyperlinks>
    <hyperlink ref="F100" r:id="rId1" location="/documento/acordao-completo/*/KEY%253AACORDAO-COMPLETO-40423/DTRELEVANCIA%2520desc/0/sinonimos%253Dfalse" display="ACÓRDÃO 1753/2008 - PLENÁRIO"/>
    <hyperlink ref="F105" r:id="rId2" display=" Anuário RAIS do Ministério do Trabalho"/>
    <hyperlink ref="F97" r:id="rId3" display=" Anuário RAIS do Ministério do Trabalho"/>
    <hyperlink ref="C117" location="'Mat Individual e Uniformes func'!A1" display="Material Individual e Uniformes"/>
    <hyperlink ref="C118" location="'Mat Coletivo e Equipamentos'!A1" display="Material Coletivo e Equipamentos"/>
  </hyperlinks>
  <pageMargins left="0.511811024" right="0.511811024" top="0.78740157499999996" bottom="0.78740157499999996" header="0.31496062000000002" footer="0.31496062000000002"/>
  <pageSetup paperSize="9" orientation="portrait"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dimension ref="A1:T634"/>
  <sheetViews>
    <sheetView showGridLines="0" topLeftCell="B1" zoomScale="85" zoomScaleNormal="85" workbookViewId="0">
      <pane ySplit="1" topLeftCell="A3" activePane="bottomLeft" state="frozen"/>
      <selection pane="bottomLeft" activeCell="K15" sqref="K15"/>
    </sheetView>
  </sheetViews>
  <sheetFormatPr defaultRowHeight="15"/>
  <cols>
    <col min="1" max="1" width="29.28515625" style="34" bestFit="1" customWidth="1"/>
    <col min="2" max="2" width="7.42578125" style="2" customWidth="1"/>
    <col min="3" max="3" width="16.5703125" style="58" bestFit="1" customWidth="1"/>
    <col min="4" max="4" width="21" bestFit="1" customWidth="1"/>
    <col min="5" max="5" width="16.140625" bestFit="1" customWidth="1"/>
    <col min="6" max="6" width="17.5703125" bestFit="1" customWidth="1"/>
    <col min="7" max="7" width="17.28515625" style="41" bestFit="1" customWidth="1"/>
    <col min="8" max="8" width="17.28515625" style="68" bestFit="1" customWidth="1"/>
    <col min="9" max="9" width="19" style="41" bestFit="1" customWidth="1"/>
    <col min="10" max="10" width="13.85546875" bestFit="1" customWidth="1"/>
    <col min="11" max="11" width="19" bestFit="1" customWidth="1"/>
    <col min="12" max="12" width="19.85546875" bestFit="1" customWidth="1"/>
    <col min="13" max="13" width="18.140625" bestFit="1" customWidth="1"/>
    <col min="14" max="14" width="14.5703125" customWidth="1"/>
    <col min="15" max="20" width="12.7109375" customWidth="1"/>
  </cols>
  <sheetData>
    <row r="1" spans="1:20" s="243" customFormat="1" ht="90">
      <c r="A1" s="258" t="s">
        <v>256</v>
      </c>
      <c r="B1" s="258" t="s">
        <v>257</v>
      </c>
      <c r="C1" s="259" t="s">
        <v>258</v>
      </c>
      <c r="D1" s="258" t="s">
        <v>261</v>
      </c>
      <c r="E1" s="260" t="s">
        <v>268</v>
      </c>
      <c r="F1" s="260" t="s">
        <v>260</v>
      </c>
      <c r="G1" s="261" t="s">
        <v>308</v>
      </c>
      <c r="H1" s="262" t="s">
        <v>259</v>
      </c>
      <c r="I1" s="263" t="s">
        <v>262</v>
      </c>
      <c r="J1" s="263" t="s">
        <v>263</v>
      </c>
      <c r="K1" s="263" t="s">
        <v>286</v>
      </c>
      <c r="L1" s="263" t="s">
        <v>285</v>
      </c>
      <c r="M1" s="263" t="s">
        <v>297</v>
      </c>
      <c r="N1" s="263" t="s">
        <v>399</v>
      </c>
      <c r="O1" s="263" t="s">
        <v>291</v>
      </c>
      <c r="P1" s="263" t="s">
        <v>324</v>
      </c>
      <c r="Q1" s="263" t="s">
        <v>325</v>
      </c>
      <c r="R1" s="263" t="s">
        <v>294</v>
      </c>
      <c r="S1" s="263" t="s">
        <v>290</v>
      </c>
      <c r="T1" s="263" t="s">
        <v>44</v>
      </c>
    </row>
    <row r="2" spans="1:20" s="243" customFormat="1">
      <c r="A2" s="351"/>
      <c r="B2" s="351"/>
      <c r="C2" s="352"/>
      <c r="D2" s="351"/>
      <c r="E2" s="353"/>
      <c r="F2" s="353"/>
      <c r="G2" s="354"/>
      <c r="H2" s="355"/>
      <c r="I2" s="356"/>
      <c r="J2" s="356"/>
      <c r="K2" s="356"/>
      <c r="L2" s="356"/>
      <c r="M2" s="356"/>
      <c r="N2" s="356"/>
      <c r="O2" s="356"/>
      <c r="P2" s="356"/>
      <c r="Q2" s="356"/>
      <c r="R2" s="356"/>
      <c r="S2" s="356"/>
      <c r="T2" s="356"/>
    </row>
    <row r="3" spans="1:20" s="67" customFormat="1">
      <c r="A3" s="357" t="s">
        <v>264</v>
      </c>
      <c r="B3" s="358">
        <v>4141</v>
      </c>
      <c r="C3" s="756" t="s">
        <v>123</v>
      </c>
      <c r="D3" s="701" t="s">
        <v>728</v>
      </c>
      <c r="E3" s="359">
        <v>46023</v>
      </c>
      <c r="F3" s="359">
        <v>46387</v>
      </c>
      <c r="G3" s="758">
        <v>1765.86</v>
      </c>
      <c r="H3" s="361">
        <v>220</v>
      </c>
      <c r="I3" s="360">
        <v>27.15</v>
      </c>
      <c r="J3" s="360">
        <f>I3/2</f>
        <v>13.574999999999999</v>
      </c>
      <c r="K3" s="358"/>
      <c r="L3" s="358"/>
      <c r="M3" s="362"/>
      <c r="N3" s="362" t="s">
        <v>317</v>
      </c>
      <c r="O3" s="362"/>
      <c r="P3" s="362">
        <v>0.06</v>
      </c>
      <c r="Q3" s="362">
        <v>0.19</v>
      </c>
      <c r="R3" s="360">
        <v>25.52</v>
      </c>
      <c r="S3" s="360"/>
      <c r="T3" s="495">
        <v>0.05</v>
      </c>
    </row>
    <row r="4" spans="1:20" s="2" customFormat="1">
      <c r="A4" s="264" t="s">
        <v>302</v>
      </c>
      <c r="B4" s="272">
        <v>4110</v>
      </c>
      <c r="C4" s="757" t="s">
        <v>123</v>
      </c>
      <c r="D4" s="266" t="s">
        <v>728</v>
      </c>
      <c r="E4" s="267">
        <v>46023</v>
      </c>
      <c r="F4" s="267">
        <v>46387</v>
      </c>
      <c r="G4" s="759">
        <v>2307.83</v>
      </c>
      <c r="H4" s="269">
        <v>220</v>
      </c>
      <c r="I4" s="268">
        <v>27.15</v>
      </c>
      <c r="J4" s="268">
        <f t="shared" ref="J4:J15" si="0">I4/2</f>
        <v>13.574999999999999</v>
      </c>
      <c r="K4" s="272"/>
      <c r="L4" s="272"/>
      <c r="M4" s="270"/>
      <c r="N4" s="270" t="s">
        <v>317</v>
      </c>
      <c r="O4" s="270"/>
      <c r="P4" s="270">
        <v>0.06</v>
      </c>
      <c r="Q4" s="270">
        <v>0.19</v>
      </c>
      <c r="R4" s="268">
        <v>25.52</v>
      </c>
      <c r="S4" s="268"/>
      <c r="T4" s="700">
        <v>0.05</v>
      </c>
    </row>
    <row r="5" spans="1:20" s="2" customFormat="1">
      <c r="A5" s="264" t="s">
        <v>301</v>
      </c>
      <c r="B5" s="272">
        <v>5143</v>
      </c>
      <c r="C5" s="757" t="s">
        <v>123</v>
      </c>
      <c r="D5" s="266" t="s">
        <v>728</v>
      </c>
      <c r="E5" s="267">
        <v>46023</v>
      </c>
      <c r="F5" s="267">
        <v>46387</v>
      </c>
      <c r="G5" s="759">
        <v>1765.86</v>
      </c>
      <c r="H5" s="269">
        <v>220</v>
      </c>
      <c r="I5" s="268">
        <v>27.15</v>
      </c>
      <c r="J5" s="268">
        <f t="shared" si="0"/>
        <v>13.574999999999999</v>
      </c>
      <c r="K5" s="272"/>
      <c r="L5" s="272"/>
      <c r="M5" s="270"/>
      <c r="N5" s="270" t="s">
        <v>317</v>
      </c>
      <c r="O5" s="270"/>
      <c r="P5" s="270">
        <v>0.06</v>
      </c>
      <c r="Q5" s="270">
        <v>0.19</v>
      </c>
      <c r="R5" s="268">
        <v>25.52</v>
      </c>
      <c r="S5" s="268"/>
      <c r="T5" s="700">
        <v>0.05</v>
      </c>
    </row>
    <row r="6" spans="1:20" s="2" customFormat="1">
      <c r="A6" s="264" t="s">
        <v>266</v>
      </c>
      <c r="B6" s="272">
        <v>5135</v>
      </c>
      <c r="C6" s="757" t="s">
        <v>123</v>
      </c>
      <c r="D6" s="266" t="s">
        <v>728</v>
      </c>
      <c r="E6" s="267">
        <v>46023</v>
      </c>
      <c r="F6" s="267">
        <v>46387</v>
      </c>
      <c r="G6" s="759">
        <v>1766.86</v>
      </c>
      <c r="H6" s="273">
        <v>220</v>
      </c>
      <c r="I6" s="268">
        <v>27.15</v>
      </c>
      <c r="J6" s="268">
        <f t="shared" si="0"/>
        <v>13.574999999999999</v>
      </c>
      <c r="K6" s="272"/>
      <c r="L6" s="272"/>
      <c r="M6" s="270">
        <v>0.2</v>
      </c>
      <c r="N6" s="270" t="s">
        <v>317</v>
      </c>
      <c r="O6" s="270"/>
      <c r="P6" s="270">
        <v>0.06</v>
      </c>
      <c r="Q6" s="698">
        <v>0.19</v>
      </c>
      <c r="R6" s="268">
        <v>25.52</v>
      </c>
      <c r="S6" s="268"/>
      <c r="T6" s="700">
        <v>0.05</v>
      </c>
    </row>
    <row r="7" spans="1:20" s="2" customFormat="1">
      <c r="A7" s="264" t="s">
        <v>300</v>
      </c>
      <c r="B7" s="272">
        <v>5142</v>
      </c>
      <c r="C7" s="757" t="s">
        <v>123</v>
      </c>
      <c r="D7" s="266" t="s">
        <v>728</v>
      </c>
      <c r="E7" s="267">
        <v>46023</v>
      </c>
      <c r="F7" s="267">
        <v>46387</v>
      </c>
      <c r="G7" s="759">
        <v>2082.31</v>
      </c>
      <c r="H7" s="273">
        <v>220</v>
      </c>
      <c r="I7" s="268">
        <v>27.15</v>
      </c>
      <c r="J7" s="268">
        <f t="shared" si="0"/>
        <v>13.574999999999999</v>
      </c>
      <c r="K7" s="272"/>
      <c r="L7" s="272"/>
      <c r="M7" s="270">
        <v>0.4</v>
      </c>
      <c r="N7" s="270" t="s">
        <v>317</v>
      </c>
      <c r="O7" s="270"/>
      <c r="P7" s="270">
        <v>0.06</v>
      </c>
      <c r="Q7" s="698">
        <v>0.19</v>
      </c>
      <c r="R7" s="268">
        <v>25.52</v>
      </c>
      <c r="S7" s="268"/>
      <c r="T7" s="700">
        <v>0.05</v>
      </c>
    </row>
    <row r="8" spans="1:20">
      <c r="A8" s="264" t="s">
        <v>299</v>
      </c>
      <c r="B8" s="272">
        <v>5134</v>
      </c>
      <c r="C8" s="757" t="s">
        <v>123</v>
      </c>
      <c r="D8" s="266" t="s">
        <v>728</v>
      </c>
      <c r="E8" s="267">
        <v>46023</v>
      </c>
      <c r="F8" s="267">
        <v>46387</v>
      </c>
      <c r="G8" s="759">
        <v>1765.86</v>
      </c>
      <c r="H8" s="273">
        <v>220</v>
      </c>
      <c r="I8" s="268">
        <v>27.15</v>
      </c>
      <c r="J8" s="268">
        <f t="shared" si="0"/>
        <v>13.574999999999999</v>
      </c>
      <c r="K8" s="264"/>
      <c r="L8" s="264"/>
      <c r="M8" s="270">
        <v>0.2</v>
      </c>
      <c r="N8" s="270" t="s">
        <v>317</v>
      </c>
      <c r="O8" s="270"/>
      <c r="P8" s="270">
        <v>0.06</v>
      </c>
      <c r="Q8" s="698">
        <v>0.19</v>
      </c>
      <c r="R8" s="268">
        <v>25.52</v>
      </c>
      <c r="S8" s="268"/>
      <c r="T8" s="700">
        <v>0.05</v>
      </c>
    </row>
    <row r="9" spans="1:20">
      <c r="A9" s="264" t="s">
        <v>265</v>
      </c>
      <c r="B9" s="272">
        <v>5132</v>
      </c>
      <c r="C9" s="757" t="s">
        <v>123</v>
      </c>
      <c r="D9" s="266" t="s">
        <v>728</v>
      </c>
      <c r="E9" s="267">
        <v>46023</v>
      </c>
      <c r="F9" s="267">
        <v>46387</v>
      </c>
      <c r="G9" s="759">
        <v>1854.05</v>
      </c>
      <c r="H9" s="273">
        <v>220</v>
      </c>
      <c r="I9" s="268">
        <v>27.15</v>
      </c>
      <c r="J9" s="268">
        <f t="shared" si="0"/>
        <v>13.574999999999999</v>
      </c>
      <c r="K9" s="264"/>
      <c r="L9" s="264"/>
      <c r="M9" s="270">
        <v>0.2</v>
      </c>
      <c r="N9" s="270" t="s">
        <v>317</v>
      </c>
      <c r="O9" s="270"/>
      <c r="P9" s="270">
        <v>0.06</v>
      </c>
      <c r="Q9" s="698">
        <v>0.19</v>
      </c>
      <c r="R9" s="268">
        <v>25.52</v>
      </c>
      <c r="S9" s="268"/>
      <c r="T9" s="700">
        <v>0.05</v>
      </c>
    </row>
    <row r="10" spans="1:20">
      <c r="A10" s="264" t="s">
        <v>298</v>
      </c>
      <c r="B10" s="272">
        <v>5143</v>
      </c>
      <c r="C10" s="757" t="s">
        <v>123</v>
      </c>
      <c r="D10" s="266" t="s">
        <v>728</v>
      </c>
      <c r="E10" s="267">
        <v>46023</v>
      </c>
      <c r="F10" s="267">
        <v>46387</v>
      </c>
      <c r="G10" s="759">
        <v>1765.86</v>
      </c>
      <c r="H10" s="273">
        <v>220</v>
      </c>
      <c r="I10" s="268">
        <v>27.15</v>
      </c>
      <c r="J10" s="268">
        <f t="shared" si="0"/>
        <v>13.574999999999999</v>
      </c>
      <c r="K10" s="264"/>
      <c r="L10" s="264"/>
      <c r="M10" s="270">
        <v>0.4</v>
      </c>
      <c r="N10" s="270" t="s">
        <v>317</v>
      </c>
      <c r="O10" s="270"/>
      <c r="P10" s="270">
        <v>0.06</v>
      </c>
      <c r="Q10" s="698">
        <v>0.19</v>
      </c>
      <c r="R10" s="268">
        <v>25.52</v>
      </c>
      <c r="S10" s="268"/>
      <c r="T10" s="700">
        <v>2.5000000000000001E-2</v>
      </c>
    </row>
    <row r="11" spans="1:20">
      <c r="A11" s="274" t="s">
        <v>251</v>
      </c>
      <c r="B11" s="272">
        <v>5174</v>
      </c>
      <c r="C11" s="757" t="s">
        <v>123</v>
      </c>
      <c r="D11" s="266" t="s">
        <v>728</v>
      </c>
      <c r="E11" s="267">
        <v>46023</v>
      </c>
      <c r="F11" s="267">
        <v>46387</v>
      </c>
      <c r="G11" s="759">
        <v>2126.25</v>
      </c>
      <c r="H11" s="273">
        <v>220</v>
      </c>
      <c r="I11" s="268">
        <v>27.15</v>
      </c>
      <c r="J11" s="268">
        <f t="shared" si="0"/>
        <v>13.574999999999999</v>
      </c>
      <c r="K11" s="264"/>
      <c r="L11" s="264"/>
      <c r="M11" s="270"/>
      <c r="N11" s="270" t="s">
        <v>317</v>
      </c>
      <c r="O11" s="270"/>
      <c r="P11" s="270">
        <v>0.06</v>
      </c>
      <c r="Q11" s="698">
        <v>0.19</v>
      </c>
      <c r="R11" s="268">
        <v>25.52</v>
      </c>
      <c r="S11" s="268"/>
      <c r="T11" s="700">
        <v>2.5000000000000001E-2</v>
      </c>
    </row>
    <row r="12" spans="1:20">
      <c r="A12" s="274" t="s">
        <v>296</v>
      </c>
      <c r="B12" s="272">
        <v>4221</v>
      </c>
      <c r="C12" s="757" t="s">
        <v>123</v>
      </c>
      <c r="D12" s="266" t="s">
        <v>728</v>
      </c>
      <c r="E12" s="267">
        <v>46023</v>
      </c>
      <c r="F12" s="267">
        <v>46387</v>
      </c>
      <c r="G12" s="759">
        <v>1996.44</v>
      </c>
      <c r="H12" s="273">
        <v>220</v>
      </c>
      <c r="I12" s="268">
        <v>27.15</v>
      </c>
      <c r="J12" s="268">
        <f t="shared" si="0"/>
        <v>13.574999999999999</v>
      </c>
      <c r="K12" s="264"/>
      <c r="L12" s="264"/>
      <c r="M12" s="270"/>
      <c r="N12" s="270" t="s">
        <v>317</v>
      </c>
      <c r="O12" s="270"/>
      <c r="P12" s="270">
        <v>0.06</v>
      </c>
      <c r="Q12" s="698">
        <v>0.19</v>
      </c>
      <c r="R12" s="268">
        <v>25.52</v>
      </c>
      <c r="S12" s="268"/>
      <c r="T12" s="700">
        <v>2.5000000000000001E-2</v>
      </c>
    </row>
    <row r="13" spans="1:20">
      <c r="A13" s="264" t="s">
        <v>295</v>
      </c>
      <c r="B13" s="272">
        <v>5142</v>
      </c>
      <c r="C13" s="757" t="s">
        <v>123</v>
      </c>
      <c r="D13" s="266" t="s">
        <v>728</v>
      </c>
      <c r="E13" s="267">
        <v>46023</v>
      </c>
      <c r="F13" s="267">
        <v>46387</v>
      </c>
      <c r="G13" s="759">
        <v>1799.68</v>
      </c>
      <c r="H13" s="273">
        <v>220</v>
      </c>
      <c r="I13" s="268">
        <v>27.15</v>
      </c>
      <c r="J13" s="268">
        <f t="shared" si="0"/>
        <v>13.574999999999999</v>
      </c>
      <c r="K13" s="264"/>
      <c r="L13" s="264"/>
      <c r="M13" s="270">
        <v>0.2</v>
      </c>
      <c r="N13" s="270" t="s">
        <v>317</v>
      </c>
      <c r="O13" s="270"/>
      <c r="P13" s="270">
        <v>0.06</v>
      </c>
      <c r="Q13" s="698">
        <v>0.19</v>
      </c>
      <c r="R13" s="268">
        <v>25.52</v>
      </c>
      <c r="S13" s="268"/>
      <c r="T13" s="700">
        <v>2.5000000000000001E-2</v>
      </c>
    </row>
    <row r="14" spans="1:20">
      <c r="A14" s="274" t="s">
        <v>305</v>
      </c>
      <c r="B14" s="272">
        <v>5143</v>
      </c>
      <c r="C14" s="757" t="s">
        <v>123</v>
      </c>
      <c r="D14" s="266" t="s">
        <v>728</v>
      </c>
      <c r="E14" s="267">
        <v>46023</v>
      </c>
      <c r="F14" s="267">
        <v>46387</v>
      </c>
      <c r="G14" s="759">
        <v>2243.81</v>
      </c>
      <c r="H14" s="273">
        <v>220</v>
      </c>
      <c r="I14" s="268">
        <v>27.15</v>
      </c>
      <c r="J14" s="268">
        <f t="shared" si="0"/>
        <v>13.574999999999999</v>
      </c>
      <c r="K14" s="264"/>
      <c r="L14" s="264"/>
      <c r="M14" s="270"/>
      <c r="N14" s="270" t="s">
        <v>317</v>
      </c>
      <c r="O14" s="270">
        <v>0.3</v>
      </c>
      <c r="P14" s="270">
        <v>0.06</v>
      </c>
      <c r="Q14" s="698">
        <v>0.19</v>
      </c>
      <c r="R14" s="268">
        <v>25.52</v>
      </c>
      <c r="S14" s="268"/>
      <c r="T14" s="700">
        <v>2.5000000000000001E-2</v>
      </c>
    </row>
    <row r="15" spans="1:20">
      <c r="A15" s="274" t="s">
        <v>306</v>
      </c>
      <c r="B15" s="272">
        <v>4227</v>
      </c>
      <c r="C15" s="757" t="s">
        <v>123</v>
      </c>
      <c r="D15" s="266" t="s">
        <v>728</v>
      </c>
      <c r="E15" s="267">
        <v>46023</v>
      </c>
      <c r="F15" s="267">
        <v>46387</v>
      </c>
      <c r="G15" s="759">
        <v>2126.25</v>
      </c>
      <c r="H15" s="273">
        <v>220</v>
      </c>
      <c r="I15" s="268">
        <v>27.15</v>
      </c>
      <c r="J15" s="268">
        <f t="shared" si="0"/>
        <v>13.574999999999999</v>
      </c>
      <c r="K15" s="264"/>
      <c r="L15" s="264"/>
      <c r="M15" s="270"/>
      <c r="N15" s="270" t="s">
        <v>317</v>
      </c>
      <c r="O15" s="270"/>
      <c r="P15" s="270">
        <v>0.06</v>
      </c>
      <c r="Q15" s="698">
        <v>0.19</v>
      </c>
      <c r="R15" s="268">
        <v>25.52</v>
      </c>
      <c r="S15" s="268"/>
      <c r="T15" s="700">
        <v>0.05</v>
      </c>
    </row>
    <row r="16" spans="1:20">
      <c r="A16" s="274" t="s">
        <v>307</v>
      </c>
      <c r="B16" s="272">
        <v>4222</v>
      </c>
      <c r="C16" s="757" t="s">
        <v>123</v>
      </c>
      <c r="D16" s="266" t="s">
        <v>728</v>
      </c>
      <c r="E16" s="267">
        <v>46023</v>
      </c>
      <c r="F16" s="267">
        <v>46387</v>
      </c>
      <c r="G16" s="759">
        <v>1996.44</v>
      </c>
      <c r="H16" s="273">
        <v>180</v>
      </c>
      <c r="I16" s="268">
        <v>27.15</v>
      </c>
      <c r="J16" s="268">
        <f t="shared" ref="J16" si="1">I16/2</f>
        <v>13.574999999999999</v>
      </c>
      <c r="K16" s="264"/>
      <c r="L16" s="264"/>
      <c r="M16" s="270"/>
      <c r="N16" s="270" t="s">
        <v>317</v>
      </c>
      <c r="O16" s="270"/>
      <c r="P16" s="270">
        <v>0.06</v>
      </c>
      <c r="Q16" s="698">
        <v>0.19</v>
      </c>
      <c r="R16" s="268">
        <v>25.52</v>
      </c>
      <c r="S16" s="268"/>
      <c r="T16" s="700">
        <v>0.05</v>
      </c>
    </row>
    <row r="17" spans="1:20">
      <c r="A17" s="274" t="s">
        <v>292</v>
      </c>
      <c r="B17" s="272">
        <v>5173</v>
      </c>
      <c r="C17" s="265" t="s">
        <v>293</v>
      </c>
      <c r="D17" s="266" t="s">
        <v>736</v>
      </c>
      <c r="E17" s="267">
        <v>46054</v>
      </c>
      <c r="F17" s="267">
        <v>46418</v>
      </c>
      <c r="G17" s="779">
        <v>2211</v>
      </c>
      <c r="H17" s="273">
        <v>220</v>
      </c>
      <c r="I17" s="780">
        <v>33</v>
      </c>
      <c r="J17" s="780"/>
      <c r="K17" s="264"/>
      <c r="L17" s="781">
        <f>G17/H17*1.3/6</f>
        <v>2.1775000000000002</v>
      </c>
      <c r="M17" s="270"/>
      <c r="N17" s="270" t="s">
        <v>316</v>
      </c>
      <c r="O17" s="270">
        <v>0.3</v>
      </c>
      <c r="P17" s="270">
        <v>0.06</v>
      </c>
      <c r="Q17" s="698">
        <v>0.2</v>
      </c>
      <c r="R17" s="780"/>
      <c r="S17" s="780">
        <f>$R$4</f>
        <v>25.52</v>
      </c>
      <c r="T17" s="782">
        <v>2.5000000000000001E-2</v>
      </c>
    </row>
    <row r="18" spans="1:20">
      <c r="A18" s="274" t="s">
        <v>288</v>
      </c>
      <c r="B18" s="272">
        <v>7823</v>
      </c>
      <c r="C18" s="265" t="s">
        <v>289</v>
      </c>
      <c r="D18" s="266" t="s">
        <v>610</v>
      </c>
      <c r="E18" s="267">
        <v>45566</v>
      </c>
      <c r="F18" s="267">
        <v>45930</v>
      </c>
      <c r="G18" s="271">
        <f>2091.44</f>
        <v>2091.44</v>
      </c>
      <c r="H18" s="273">
        <v>220</v>
      </c>
      <c r="I18" s="268">
        <v>30</v>
      </c>
      <c r="J18" s="268"/>
      <c r="K18" s="264"/>
      <c r="L18" s="264"/>
      <c r="M18" s="270"/>
      <c r="N18" s="270" t="s">
        <v>316</v>
      </c>
      <c r="O18" s="270"/>
      <c r="P18" s="270">
        <v>0.06</v>
      </c>
      <c r="Q18" s="698">
        <v>0.2</v>
      </c>
      <c r="R18" s="268"/>
      <c r="S18" s="268">
        <f t="shared" ref="S18:S21" si="2">$R$4</f>
        <v>25.52</v>
      </c>
      <c r="T18" s="700">
        <v>0.05</v>
      </c>
    </row>
    <row r="19" spans="1:20">
      <c r="A19" s="274" t="s">
        <v>287</v>
      </c>
      <c r="B19" s="272">
        <v>7823</v>
      </c>
      <c r="C19" s="265" t="s">
        <v>289</v>
      </c>
      <c r="D19" s="266" t="s">
        <v>610</v>
      </c>
      <c r="E19" s="267">
        <v>45566</v>
      </c>
      <c r="F19" s="267">
        <v>45930</v>
      </c>
      <c r="G19" s="271">
        <f>2159.19</f>
        <v>2159.19</v>
      </c>
      <c r="H19" s="273">
        <v>220</v>
      </c>
      <c r="I19" s="268">
        <v>30</v>
      </c>
      <c r="J19" s="268"/>
      <c r="K19" s="264"/>
      <c r="L19" s="264"/>
      <c r="M19" s="270"/>
      <c r="N19" s="270" t="s">
        <v>316</v>
      </c>
      <c r="O19" s="270"/>
      <c r="P19" s="270">
        <v>0.06</v>
      </c>
      <c r="Q19" s="698">
        <v>0.2</v>
      </c>
      <c r="R19" s="268"/>
      <c r="S19" s="268">
        <f t="shared" si="2"/>
        <v>25.52</v>
      </c>
      <c r="T19" s="700">
        <v>0.05</v>
      </c>
    </row>
    <row r="20" spans="1:20">
      <c r="A20" s="264" t="s">
        <v>425</v>
      </c>
      <c r="B20" s="272">
        <v>7825</v>
      </c>
      <c r="C20" s="265" t="s">
        <v>289</v>
      </c>
      <c r="D20" s="266" t="s">
        <v>610</v>
      </c>
      <c r="E20" s="267">
        <v>45566</v>
      </c>
      <c r="F20" s="267">
        <v>45930</v>
      </c>
      <c r="G20" s="271">
        <f>2123.47</f>
        <v>2123.4699999999998</v>
      </c>
      <c r="H20" s="273">
        <v>220</v>
      </c>
      <c r="I20" s="268">
        <v>30</v>
      </c>
      <c r="J20" s="268"/>
      <c r="K20" s="264"/>
      <c r="L20" s="264"/>
      <c r="M20" s="270"/>
      <c r="N20" s="270" t="s">
        <v>316</v>
      </c>
      <c r="O20" s="270"/>
      <c r="P20" s="270">
        <v>0.06</v>
      </c>
      <c r="Q20" s="698">
        <v>0.2</v>
      </c>
      <c r="R20" s="268"/>
      <c r="S20" s="268">
        <f t="shared" si="2"/>
        <v>25.52</v>
      </c>
      <c r="T20" s="700">
        <v>0.05</v>
      </c>
    </row>
    <row r="21" spans="1:20">
      <c r="A21" s="275" t="s">
        <v>426</v>
      </c>
      <c r="B21" s="284">
        <v>7825</v>
      </c>
      <c r="C21" s="276" t="s">
        <v>289</v>
      </c>
      <c r="D21" s="277" t="s">
        <v>610</v>
      </c>
      <c r="E21" s="278">
        <v>45566</v>
      </c>
      <c r="F21" s="278">
        <v>45930</v>
      </c>
      <c r="G21" s="279">
        <f>2176.43</f>
        <v>2176.4299999999998</v>
      </c>
      <c r="H21" s="280">
        <v>220</v>
      </c>
      <c r="I21" s="281">
        <v>30</v>
      </c>
      <c r="J21" s="281"/>
      <c r="K21" s="282"/>
      <c r="L21" s="282"/>
      <c r="M21" s="283"/>
      <c r="N21" s="283" t="s">
        <v>316</v>
      </c>
      <c r="O21" s="283"/>
      <c r="P21" s="283">
        <v>0.06</v>
      </c>
      <c r="Q21" s="699">
        <v>0.2</v>
      </c>
      <c r="R21" s="281"/>
      <c r="S21" s="281">
        <f t="shared" si="2"/>
        <v>25.52</v>
      </c>
      <c r="T21" s="700">
        <v>0.05</v>
      </c>
    </row>
    <row r="22" spans="1:20">
      <c r="A22"/>
      <c r="E22" s="61"/>
      <c r="F22" s="61"/>
      <c r="R22" s="66"/>
      <c r="S22" s="66"/>
      <c r="T22" s="66"/>
    </row>
    <row r="23" spans="1:20">
      <c r="C23"/>
      <c r="E23" s="61"/>
      <c r="F23" s="61"/>
      <c r="R23" s="66"/>
      <c r="S23" s="66"/>
      <c r="T23" s="66"/>
    </row>
    <row r="24" spans="1:20">
      <c r="E24" s="61"/>
      <c r="F24" s="61"/>
      <c r="R24" s="66"/>
      <c r="S24" s="66"/>
      <c r="T24" s="66"/>
    </row>
    <row r="25" spans="1:20">
      <c r="C25"/>
      <c r="E25" s="61"/>
      <c r="F25" s="61"/>
      <c r="R25" s="66"/>
      <c r="S25" s="66"/>
      <c r="T25" s="66"/>
    </row>
    <row r="26" spans="1:20">
      <c r="A26"/>
      <c r="I26"/>
    </row>
    <row r="27" spans="1:20">
      <c r="I27"/>
    </row>
    <row r="28" spans="1:20">
      <c r="A28"/>
      <c r="I28"/>
    </row>
    <row r="29" spans="1:20">
      <c r="A29"/>
      <c r="I29"/>
    </row>
    <row r="30" spans="1:20">
      <c r="B30" s="285"/>
      <c r="C30"/>
      <c r="E30" s="61"/>
      <c r="F30" s="61"/>
    </row>
    <row r="31" spans="1:20">
      <c r="I31"/>
    </row>
    <row r="32" spans="1:20">
      <c r="C32"/>
      <c r="E32" s="61"/>
      <c r="F32" s="61"/>
    </row>
    <row r="33" spans="1:9">
      <c r="B33" s="285"/>
      <c r="C33"/>
      <c r="E33" s="61"/>
      <c r="F33" s="61"/>
    </row>
    <row r="34" spans="1:9">
      <c r="A34"/>
      <c r="E34" s="61"/>
      <c r="F34" s="61"/>
      <c r="I34"/>
    </row>
    <row r="35" spans="1:9">
      <c r="A35"/>
      <c r="E35" s="61"/>
      <c r="F35" s="61"/>
      <c r="I35"/>
    </row>
    <row r="36" spans="1:9">
      <c r="A36"/>
      <c r="I36"/>
    </row>
    <row r="37" spans="1:9">
      <c r="A37"/>
      <c r="I37"/>
    </row>
    <row r="38" spans="1:9">
      <c r="A38"/>
      <c r="C38"/>
      <c r="I38"/>
    </row>
    <row r="39" spans="1:9">
      <c r="C39"/>
      <c r="I39"/>
    </row>
    <row r="40" spans="1:9">
      <c r="A40"/>
      <c r="I40"/>
    </row>
    <row r="41" spans="1:9">
      <c r="A41"/>
      <c r="I41"/>
    </row>
    <row r="42" spans="1:9">
      <c r="A42"/>
      <c r="I42"/>
    </row>
    <row r="43" spans="1:9">
      <c r="E43" s="61"/>
      <c r="F43" s="61"/>
      <c r="I43"/>
    </row>
    <row r="44" spans="1:9">
      <c r="I44"/>
    </row>
    <row r="45" spans="1:9">
      <c r="B45" s="285"/>
      <c r="C45"/>
      <c r="I45"/>
    </row>
    <row r="46" spans="1:9">
      <c r="A46"/>
      <c r="C46"/>
      <c r="E46" s="61"/>
      <c r="F46" s="61"/>
      <c r="I46"/>
    </row>
    <row r="47" spans="1:9">
      <c r="C47"/>
      <c r="E47" s="61"/>
      <c r="F47" s="61"/>
      <c r="I47"/>
    </row>
    <row r="48" spans="1:9">
      <c r="A48"/>
      <c r="C48"/>
      <c r="E48" s="61"/>
      <c r="F48" s="61"/>
      <c r="I48"/>
    </row>
    <row r="49" spans="1:9">
      <c r="C49"/>
      <c r="E49" s="61"/>
      <c r="F49" s="61"/>
      <c r="I49"/>
    </row>
    <row r="50" spans="1:9">
      <c r="C50"/>
      <c r="E50" s="61"/>
      <c r="F50" s="61"/>
      <c r="I50"/>
    </row>
    <row r="51" spans="1:9">
      <c r="C51"/>
      <c r="E51" s="61"/>
      <c r="F51" s="61"/>
      <c r="I51"/>
    </row>
    <row r="52" spans="1:9">
      <c r="C52"/>
      <c r="E52" s="61"/>
      <c r="F52" s="61"/>
      <c r="I52"/>
    </row>
    <row r="53" spans="1:9">
      <c r="C53"/>
      <c r="E53" s="61"/>
      <c r="F53" s="61"/>
      <c r="I53"/>
    </row>
    <row r="54" spans="1:9">
      <c r="E54" s="61"/>
      <c r="F54" s="61"/>
      <c r="I54"/>
    </row>
    <row r="55" spans="1:9">
      <c r="C55"/>
      <c r="E55" s="61"/>
      <c r="F55" s="61"/>
      <c r="I55"/>
    </row>
    <row r="56" spans="1:9">
      <c r="A56"/>
      <c r="C56"/>
      <c r="E56" s="61"/>
      <c r="F56" s="61"/>
      <c r="I56"/>
    </row>
    <row r="57" spans="1:9">
      <c r="C57"/>
      <c r="E57" s="61"/>
      <c r="F57" s="61"/>
      <c r="I57"/>
    </row>
    <row r="58" spans="1:9">
      <c r="C58"/>
      <c r="E58" s="61"/>
      <c r="F58" s="61"/>
      <c r="I58"/>
    </row>
    <row r="59" spans="1:9">
      <c r="A59"/>
      <c r="C59"/>
      <c r="E59" s="61"/>
      <c r="F59" s="61"/>
      <c r="I59"/>
    </row>
    <row r="60" spans="1:9">
      <c r="A60"/>
      <c r="I60"/>
    </row>
    <row r="61" spans="1:9">
      <c r="A61"/>
      <c r="I61"/>
    </row>
    <row r="62" spans="1:9">
      <c r="A62"/>
      <c r="I62"/>
    </row>
    <row r="63" spans="1:9">
      <c r="A63" s="63"/>
      <c r="B63" s="285"/>
      <c r="C63" s="62"/>
      <c r="E63" s="61"/>
      <c r="F63" s="61"/>
    </row>
    <row r="64" spans="1:9">
      <c r="A64" s="63"/>
      <c r="B64" s="285"/>
      <c r="C64" s="62"/>
      <c r="E64" s="61"/>
      <c r="F64" s="61"/>
    </row>
    <row r="65" spans="1:9">
      <c r="C65"/>
      <c r="E65" s="61"/>
      <c r="F65" s="61"/>
    </row>
    <row r="66" spans="1:9">
      <c r="C66"/>
      <c r="E66" s="61"/>
      <c r="F66" s="61"/>
    </row>
    <row r="67" spans="1:9">
      <c r="C67"/>
      <c r="E67" s="61"/>
      <c r="F67" s="61"/>
    </row>
    <row r="68" spans="1:9">
      <c r="A68"/>
      <c r="E68" s="61"/>
      <c r="F68" s="61"/>
    </row>
    <row r="69" spans="1:9">
      <c r="A69"/>
      <c r="C69"/>
      <c r="E69" s="61"/>
      <c r="F69" s="61"/>
      <c r="I69"/>
    </row>
    <row r="70" spans="1:9">
      <c r="E70" s="61"/>
      <c r="F70" s="61"/>
    </row>
    <row r="71" spans="1:9">
      <c r="E71" s="61"/>
      <c r="F71" s="61"/>
    </row>
    <row r="72" spans="1:9">
      <c r="C72"/>
      <c r="E72" s="61"/>
      <c r="F72" s="61"/>
    </row>
    <row r="73" spans="1:9">
      <c r="E73" s="61"/>
      <c r="F73" s="61"/>
    </row>
    <row r="74" spans="1:9">
      <c r="E74" s="61"/>
      <c r="F74" s="61"/>
    </row>
    <row r="75" spans="1:9">
      <c r="E75" s="61"/>
      <c r="F75" s="61"/>
    </row>
    <row r="76" spans="1:9">
      <c r="A76"/>
      <c r="B76" s="285"/>
      <c r="E76" s="61"/>
      <c r="F76" s="61"/>
    </row>
    <row r="77" spans="1:9">
      <c r="E77" s="61"/>
      <c r="F77" s="61"/>
    </row>
    <row r="78" spans="1:9">
      <c r="A78"/>
      <c r="C78" s="62"/>
      <c r="E78" s="61"/>
      <c r="F78" s="61"/>
    </row>
    <row r="79" spans="1:9">
      <c r="C79"/>
      <c r="E79" s="61"/>
      <c r="F79" s="61"/>
      <c r="I79"/>
    </row>
    <row r="80" spans="1:9">
      <c r="C80"/>
      <c r="E80" s="61"/>
      <c r="F80" s="61"/>
      <c r="I80"/>
    </row>
    <row r="81" spans="1:10">
      <c r="A81"/>
      <c r="I81"/>
    </row>
    <row r="82" spans="1:10">
      <c r="A82"/>
      <c r="I82"/>
    </row>
    <row r="83" spans="1:10">
      <c r="A83"/>
      <c r="I83"/>
    </row>
    <row r="84" spans="1:10">
      <c r="A84"/>
      <c r="C84"/>
      <c r="I84"/>
    </row>
    <row r="85" spans="1:10">
      <c r="C85"/>
      <c r="E85" s="61"/>
      <c r="F85" s="61"/>
      <c r="I85"/>
    </row>
    <row r="86" spans="1:10">
      <c r="A86"/>
      <c r="I86"/>
    </row>
    <row r="87" spans="1:10">
      <c r="A87"/>
      <c r="I87"/>
    </row>
    <row r="88" spans="1:10">
      <c r="A88"/>
      <c r="C88" s="62"/>
      <c r="E88" s="61"/>
      <c r="F88" s="61"/>
    </row>
    <row r="89" spans="1:10">
      <c r="A89" s="63"/>
      <c r="C89"/>
      <c r="E89" s="61"/>
      <c r="F89" s="61"/>
      <c r="I89"/>
    </row>
    <row r="90" spans="1:10">
      <c r="A90" s="63"/>
      <c r="C90"/>
      <c r="E90" s="61"/>
      <c r="F90" s="61"/>
      <c r="I90"/>
    </row>
    <row r="91" spans="1:10">
      <c r="C91"/>
      <c r="E91" s="61"/>
      <c r="F91" s="61"/>
      <c r="I91"/>
    </row>
    <row r="92" spans="1:10">
      <c r="A92" s="57"/>
      <c r="D92" s="2"/>
      <c r="E92" s="60"/>
      <c r="F92" s="60"/>
      <c r="G92" s="59"/>
      <c r="H92" s="65"/>
      <c r="I92" s="59"/>
      <c r="J92" s="2"/>
    </row>
    <row r="93" spans="1:10">
      <c r="A93" s="57"/>
      <c r="D93" s="2"/>
      <c r="E93" s="60"/>
      <c r="F93" s="60"/>
      <c r="G93" s="59"/>
      <c r="H93" s="65"/>
      <c r="I93" s="59"/>
      <c r="J93" s="2"/>
    </row>
    <row r="94" spans="1:10">
      <c r="A94" s="57"/>
      <c r="D94" s="2"/>
      <c r="E94" s="60"/>
      <c r="F94" s="60"/>
      <c r="G94" s="59"/>
      <c r="H94" s="65"/>
      <c r="I94" s="59"/>
      <c r="J94" s="2"/>
    </row>
    <row r="95" spans="1:10">
      <c r="A95" s="57"/>
      <c r="D95" s="2"/>
      <c r="E95" s="60"/>
      <c r="F95" s="60"/>
      <c r="G95" s="59"/>
      <c r="H95" s="65"/>
      <c r="I95" s="59"/>
      <c r="J95" s="2"/>
    </row>
    <row r="96" spans="1:10">
      <c r="A96"/>
    </row>
    <row r="97" spans="1:10">
      <c r="A97"/>
    </row>
    <row r="98" spans="1:10">
      <c r="A98"/>
    </row>
    <row r="99" spans="1:10">
      <c r="A99"/>
    </row>
    <row r="100" spans="1:10">
      <c r="A100"/>
    </row>
    <row r="101" spans="1:10">
      <c r="A101"/>
    </row>
    <row r="102" spans="1:10">
      <c r="A102"/>
    </row>
    <row r="103" spans="1:10" s="58" customFormat="1">
      <c r="A103"/>
      <c r="B103" s="2"/>
      <c r="D103"/>
      <c r="E103"/>
      <c r="F103"/>
      <c r="G103" s="41"/>
      <c r="H103" s="68"/>
      <c r="I103" s="41"/>
      <c r="J103"/>
    </row>
    <row r="104" spans="1:10" s="58" customFormat="1">
      <c r="A104"/>
      <c r="B104" s="2"/>
      <c r="D104"/>
      <c r="E104"/>
      <c r="F104"/>
      <c r="G104" s="41"/>
      <c r="H104" s="68"/>
      <c r="I104" s="41"/>
      <c r="J104"/>
    </row>
    <row r="105" spans="1:10" s="58" customFormat="1">
      <c r="A105"/>
      <c r="B105" s="2"/>
      <c r="D105"/>
      <c r="E105"/>
      <c r="F105"/>
      <c r="G105" s="41"/>
      <c r="H105" s="68"/>
      <c r="I105" s="41"/>
      <c r="J105"/>
    </row>
    <row r="106" spans="1:10" s="58" customFormat="1">
      <c r="A106"/>
      <c r="B106" s="2"/>
      <c r="D106"/>
      <c r="E106"/>
      <c r="F106"/>
      <c r="G106" s="41"/>
      <c r="H106" s="68"/>
      <c r="I106" s="41"/>
      <c r="J106"/>
    </row>
    <row r="107" spans="1:10" s="58" customFormat="1">
      <c r="A107"/>
      <c r="B107" s="2"/>
      <c r="D107"/>
      <c r="E107"/>
      <c r="F107"/>
      <c r="G107" s="41"/>
      <c r="H107" s="68"/>
      <c r="I107" s="41"/>
      <c r="J107"/>
    </row>
    <row r="108" spans="1:10" s="58" customFormat="1">
      <c r="A108"/>
      <c r="B108" s="2"/>
      <c r="D108"/>
      <c r="E108"/>
      <c r="F108"/>
      <c r="G108" s="41"/>
      <c r="H108" s="68"/>
      <c r="I108" s="41"/>
      <c r="J108"/>
    </row>
    <row r="109" spans="1:10" s="58" customFormat="1">
      <c r="A109"/>
      <c r="B109" s="2"/>
      <c r="D109"/>
      <c r="E109"/>
      <c r="F109"/>
      <c r="G109" s="41"/>
      <c r="H109" s="68"/>
      <c r="I109" s="41"/>
      <c r="J109"/>
    </row>
    <row r="110" spans="1:10" s="58" customFormat="1">
      <c r="A110"/>
      <c r="B110" s="2"/>
      <c r="D110"/>
      <c r="E110"/>
      <c r="F110"/>
      <c r="G110" s="41"/>
      <c r="H110" s="68"/>
      <c r="I110" s="41"/>
      <c r="J110"/>
    </row>
    <row r="111" spans="1:10" s="58" customFormat="1">
      <c r="A111"/>
      <c r="B111" s="2"/>
      <c r="D111"/>
      <c r="E111"/>
      <c r="F111"/>
      <c r="G111" s="41"/>
      <c r="H111" s="68"/>
      <c r="I111" s="41"/>
      <c r="J111"/>
    </row>
    <row r="112" spans="1:10" s="58" customFormat="1">
      <c r="A112"/>
      <c r="B112" s="2"/>
      <c r="D112"/>
      <c r="E112"/>
      <c r="F112"/>
      <c r="G112" s="41"/>
      <c r="H112" s="68"/>
      <c r="I112" s="41"/>
      <c r="J112"/>
    </row>
    <row r="113" spans="1:10" s="58" customFormat="1">
      <c r="A113"/>
      <c r="B113" s="2"/>
      <c r="D113"/>
      <c r="E113"/>
      <c r="F113"/>
      <c r="G113" s="41"/>
      <c r="H113" s="68"/>
      <c r="I113" s="41"/>
      <c r="J113"/>
    </row>
    <row r="114" spans="1:10" s="58" customFormat="1">
      <c r="A114"/>
      <c r="B114" s="2"/>
      <c r="D114"/>
      <c r="E114"/>
      <c r="F114"/>
      <c r="G114" s="41"/>
      <c r="H114" s="68"/>
      <c r="I114" s="41"/>
      <c r="J114"/>
    </row>
    <row r="115" spans="1:10" s="58" customFormat="1">
      <c r="A115"/>
      <c r="B115" s="2"/>
      <c r="D115"/>
      <c r="E115"/>
      <c r="F115"/>
      <c r="G115" s="41"/>
      <c r="H115" s="68"/>
      <c r="I115" s="41"/>
      <c r="J115"/>
    </row>
    <row r="116" spans="1:10" s="58" customFormat="1">
      <c r="A116"/>
      <c r="B116" s="2"/>
      <c r="D116"/>
      <c r="E116"/>
      <c r="F116"/>
      <c r="G116" s="41"/>
      <c r="H116" s="68"/>
      <c r="I116" s="41"/>
      <c r="J116"/>
    </row>
    <row r="117" spans="1:10" s="58" customFormat="1">
      <c r="A117"/>
      <c r="B117" s="2"/>
      <c r="D117"/>
      <c r="E117"/>
      <c r="F117"/>
      <c r="G117" s="41"/>
      <c r="H117" s="68"/>
      <c r="I117" s="41"/>
      <c r="J117"/>
    </row>
    <row r="118" spans="1:10" s="58" customFormat="1">
      <c r="A118"/>
      <c r="B118" s="2"/>
      <c r="D118"/>
      <c r="E118"/>
      <c r="F118"/>
      <c r="G118" s="41"/>
      <c r="H118" s="68"/>
      <c r="I118" s="41"/>
      <c r="J118"/>
    </row>
    <row r="119" spans="1:10" s="58" customFormat="1">
      <c r="A119"/>
      <c r="B119" s="2"/>
      <c r="D119"/>
      <c r="E119"/>
      <c r="F119"/>
      <c r="G119" s="41"/>
      <c r="H119" s="68"/>
      <c r="I119" s="41"/>
      <c r="J119"/>
    </row>
    <row r="120" spans="1:10" s="58" customFormat="1">
      <c r="A120"/>
      <c r="B120" s="2"/>
      <c r="D120"/>
      <c r="E120"/>
      <c r="F120"/>
      <c r="G120" s="41"/>
      <c r="H120" s="68"/>
      <c r="I120" s="41"/>
      <c r="J120"/>
    </row>
    <row r="121" spans="1:10" s="58" customFormat="1">
      <c r="A121"/>
      <c r="B121" s="2"/>
      <c r="D121"/>
      <c r="E121"/>
      <c r="F121"/>
      <c r="G121" s="41"/>
      <c r="H121" s="68"/>
      <c r="I121" s="41"/>
      <c r="J121"/>
    </row>
    <row r="122" spans="1:10" s="58" customFormat="1">
      <c r="A122"/>
      <c r="B122" s="2"/>
      <c r="D122"/>
      <c r="E122"/>
      <c r="F122"/>
      <c r="G122" s="41"/>
      <c r="H122" s="68"/>
      <c r="I122" s="41"/>
      <c r="J122"/>
    </row>
    <row r="123" spans="1:10" s="58" customFormat="1">
      <c r="A123"/>
      <c r="B123" s="2"/>
      <c r="D123"/>
      <c r="E123"/>
      <c r="F123"/>
      <c r="G123" s="41"/>
      <c r="H123" s="68"/>
      <c r="I123" s="41"/>
      <c r="J123"/>
    </row>
    <row r="124" spans="1:10" s="58" customFormat="1">
      <c r="A124"/>
      <c r="B124" s="2"/>
      <c r="D124"/>
      <c r="E124"/>
      <c r="F124"/>
      <c r="G124" s="41"/>
      <c r="H124" s="68"/>
      <c r="I124" s="41"/>
      <c r="J124"/>
    </row>
    <row r="125" spans="1:10" s="58" customFormat="1">
      <c r="A125"/>
      <c r="B125" s="2"/>
      <c r="D125"/>
      <c r="E125"/>
      <c r="F125"/>
      <c r="G125" s="41"/>
      <c r="H125" s="68"/>
      <c r="I125" s="41"/>
      <c r="J125"/>
    </row>
    <row r="126" spans="1:10" s="58" customFormat="1">
      <c r="A126"/>
      <c r="B126" s="2"/>
      <c r="D126"/>
      <c r="E126"/>
      <c r="F126"/>
      <c r="G126" s="41"/>
      <c r="H126" s="68"/>
      <c r="I126" s="41"/>
      <c r="J126"/>
    </row>
    <row r="127" spans="1:10" s="58" customFormat="1">
      <c r="A127"/>
      <c r="B127" s="2"/>
      <c r="D127"/>
      <c r="E127"/>
      <c r="F127"/>
      <c r="G127" s="41"/>
      <c r="H127" s="68"/>
      <c r="I127" s="41"/>
      <c r="J127"/>
    </row>
    <row r="128" spans="1:10" s="58" customFormat="1">
      <c r="A128"/>
      <c r="B128" s="2"/>
      <c r="D128"/>
      <c r="E128"/>
      <c r="F128"/>
      <c r="G128" s="41"/>
      <c r="H128" s="68"/>
      <c r="I128" s="41"/>
      <c r="J128"/>
    </row>
    <row r="129" spans="1:10" s="58" customFormat="1">
      <c r="A129"/>
      <c r="B129" s="2"/>
      <c r="D129"/>
      <c r="E129"/>
      <c r="F129"/>
      <c r="G129" s="41"/>
      <c r="H129" s="68"/>
      <c r="I129" s="41"/>
      <c r="J129"/>
    </row>
    <row r="130" spans="1:10" s="58" customFormat="1">
      <c r="A130"/>
      <c r="B130" s="2"/>
      <c r="D130"/>
      <c r="E130"/>
      <c r="F130"/>
      <c r="G130" s="41"/>
      <c r="H130" s="68"/>
      <c r="I130" s="41"/>
      <c r="J130"/>
    </row>
    <row r="131" spans="1:10" s="58" customFormat="1">
      <c r="A131"/>
      <c r="B131" s="2"/>
      <c r="D131"/>
      <c r="E131"/>
      <c r="F131"/>
      <c r="G131" s="41"/>
      <c r="H131" s="68"/>
      <c r="I131" s="41"/>
      <c r="J131"/>
    </row>
    <row r="132" spans="1:10" s="58" customFormat="1">
      <c r="A132"/>
      <c r="B132" s="2"/>
      <c r="D132"/>
      <c r="E132"/>
      <c r="F132"/>
      <c r="G132" s="41"/>
      <c r="H132" s="68"/>
      <c r="I132" s="41"/>
      <c r="J132"/>
    </row>
    <row r="133" spans="1:10" s="58" customFormat="1">
      <c r="A133"/>
      <c r="B133" s="2"/>
      <c r="D133"/>
      <c r="E133"/>
      <c r="F133"/>
      <c r="G133" s="41"/>
      <c r="H133" s="68"/>
      <c r="I133" s="41"/>
      <c r="J133"/>
    </row>
    <row r="134" spans="1:10" s="58" customFormat="1">
      <c r="A134"/>
      <c r="B134" s="2"/>
      <c r="D134"/>
      <c r="E134"/>
      <c r="F134"/>
      <c r="G134" s="41"/>
      <c r="H134" s="68"/>
      <c r="I134" s="41"/>
      <c r="J134"/>
    </row>
    <row r="135" spans="1:10" s="58" customFormat="1">
      <c r="A135"/>
      <c r="B135" s="2"/>
      <c r="D135"/>
      <c r="E135"/>
      <c r="F135"/>
      <c r="G135" s="41"/>
      <c r="H135" s="68"/>
      <c r="I135" s="41"/>
      <c r="J135"/>
    </row>
    <row r="136" spans="1:10" s="58" customFormat="1">
      <c r="A136"/>
      <c r="B136" s="2"/>
      <c r="D136"/>
      <c r="E136"/>
      <c r="F136"/>
      <c r="G136" s="41"/>
      <c r="H136" s="68"/>
      <c r="I136" s="41"/>
      <c r="J136"/>
    </row>
    <row r="137" spans="1:10" s="58" customFormat="1">
      <c r="A137"/>
      <c r="B137" s="2"/>
      <c r="D137"/>
      <c r="E137"/>
      <c r="F137"/>
      <c r="G137" s="41"/>
      <c r="H137" s="68"/>
      <c r="I137" s="41"/>
      <c r="J137"/>
    </row>
    <row r="138" spans="1:10" s="58" customFormat="1">
      <c r="A138"/>
      <c r="B138" s="2"/>
      <c r="D138"/>
      <c r="E138"/>
      <c r="F138"/>
      <c r="G138" s="41"/>
      <c r="H138" s="68"/>
      <c r="I138" s="41"/>
      <c r="J138"/>
    </row>
    <row r="139" spans="1:10" s="58" customFormat="1">
      <c r="A139"/>
      <c r="B139" s="2"/>
      <c r="D139"/>
      <c r="E139"/>
      <c r="F139"/>
      <c r="G139" s="41"/>
      <c r="H139" s="68"/>
      <c r="I139" s="41"/>
      <c r="J139"/>
    </row>
    <row r="140" spans="1:10" s="58" customFormat="1">
      <c r="A140"/>
      <c r="B140" s="2"/>
      <c r="D140"/>
      <c r="E140"/>
      <c r="F140"/>
      <c r="G140" s="41"/>
      <c r="H140" s="68"/>
      <c r="I140" s="41"/>
      <c r="J140"/>
    </row>
    <row r="141" spans="1:10" s="58" customFormat="1">
      <c r="A141"/>
      <c r="B141" s="2"/>
      <c r="D141"/>
      <c r="E141"/>
      <c r="F141"/>
      <c r="G141" s="41"/>
      <c r="H141" s="68"/>
      <c r="I141" s="41"/>
      <c r="J141"/>
    </row>
    <row r="142" spans="1:10" s="58" customFormat="1">
      <c r="A142" s="34"/>
      <c r="B142" s="2"/>
      <c r="D142"/>
      <c r="E142"/>
      <c r="F142"/>
      <c r="G142" s="41"/>
      <c r="H142" s="68"/>
      <c r="I142" s="41"/>
      <c r="J142"/>
    </row>
    <row r="143" spans="1:10" s="58" customFormat="1">
      <c r="A143" s="34"/>
      <c r="B143" s="2"/>
      <c r="D143"/>
      <c r="E143"/>
      <c r="F143"/>
      <c r="G143" s="41"/>
      <c r="H143" s="68"/>
      <c r="I143" s="41"/>
      <c r="J143"/>
    </row>
    <row r="144" spans="1:10" s="58" customFormat="1">
      <c r="A144" s="34"/>
      <c r="B144" s="2"/>
      <c r="D144"/>
      <c r="E144"/>
      <c r="F144"/>
      <c r="G144" s="41"/>
      <c r="H144" s="68"/>
      <c r="I144" s="41"/>
      <c r="J144"/>
    </row>
    <row r="145" spans="1:10" s="58" customFormat="1">
      <c r="A145" s="34"/>
      <c r="B145" s="2"/>
      <c r="D145"/>
      <c r="E145"/>
      <c r="F145"/>
      <c r="G145" s="41"/>
      <c r="H145" s="68"/>
      <c r="I145" s="41"/>
      <c r="J145"/>
    </row>
    <row r="146" spans="1:10" s="58" customFormat="1">
      <c r="A146" s="34"/>
      <c r="B146" s="2"/>
      <c r="D146"/>
      <c r="E146"/>
      <c r="F146"/>
      <c r="G146" s="41"/>
      <c r="H146" s="68"/>
      <c r="I146" s="41"/>
      <c r="J146"/>
    </row>
    <row r="147" spans="1:10" s="58" customFormat="1">
      <c r="A147" s="34"/>
      <c r="B147" s="2"/>
      <c r="D147"/>
      <c r="E147"/>
      <c r="F147"/>
      <c r="G147" s="41"/>
      <c r="H147" s="68"/>
      <c r="I147" s="41"/>
      <c r="J147"/>
    </row>
    <row r="148" spans="1:10" s="58" customFormat="1">
      <c r="A148" s="34"/>
      <c r="B148" s="2"/>
      <c r="D148"/>
      <c r="E148"/>
      <c r="F148"/>
      <c r="G148" s="41"/>
      <c r="H148" s="68"/>
      <c r="I148" s="41"/>
      <c r="J148"/>
    </row>
    <row r="149" spans="1:10" s="58" customFormat="1">
      <c r="A149" s="34"/>
      <c r="B149" s="2"/>
      <c r="D149"/>
      <c r="E149"/>
      <c r="F149"/>
      <c r="G149" s="41"/>
      <c r="H149" s="68"/>
      <c r="I149" s="41"/>
      <c r="J149"/>
    </row>
    <row r="150" spans="1:10" s="58" customFormat="1">
      <c r="A150" s="34"/>
      <c r="B150" s="2"/>
      <c r="D150"/>
      <c r="E150"/>
      <c r="F150"/>
      <c r="G150" s="41"/>
      <c r="H150" s="68"/>
      <c r="I150" s="41"/>
      <c r="J150"/>
    </row>
    <row r="151" spans="1:10" s="58" customFormat="1">
      <c r="A151" s="34"/>
      <c r="B151" s="2"/>
      <c r="D151"/>
      <c r="E151"/>
      <c r="F151"/>
      <c r="G151" s="41"/>
      <c r="H151" s="68"/>
      <c r="I151" s="41"/>
      <c r="J151"/>
    </row>
    <row r="152" spans="1:10" s="58" customFormat="1">
      <c r="A152" s="34"/>
      <c r="B152" s="2"/>
      <c r="D152"/>
      <c r="E152"/>
      <c r="F152"/>
      <c r="G152" s="41"/>
      <c r="H152" s="68"/>
      <c r="I152" s="41"/>
      <c r="J152"/>
    </row>
    <row r="153" spans="1:10" s="58" customFormat="1">
      <c r="A153" s="34"/>
      <c r="B153" s="2"/>
      <c r="D153"/>
      <c r="E153"/>
      <c r="F153"/>
      <c r="G153" s="41"/>
      <c r="H153" s="68"/>
      <c r="I153" s="41"/>
      <c r="J153"/>
    </row>
    <row r="154" spans="1:10" s="58" customFormat="1">
      <c r="A154" s="34"/>
      <c r="B154" s="2"/>
      <c r="D154"/>
      <c r="E154"/>
      <c r="F154"/>
      <c r="G154" s="41"/>
      <c r="H154" s="68"/>
      <c r="I154" s="41"/>
      <c r="J154"/>
    </row>
    <row r="155" spans="1:10" s="58" customFormat="1">
      <c r="A155" s="34"/>
      <c r="B155" s="2"/>
      <c r="D155"/>
      <c r="E155"/>
      <c r="F155"/>
      <c r="G155" s="41"/>
      <c r="H155" s="68"/>
      <c r="I155" s="41"/>
      <c r="J155"/>
    </row>
    <row r="156" spans="1:10" s="58" customFormat="1">
      <c r="A156" s="34"/>
      <c r="B156" s="2"/>
      <c r="D156"/>
      <c r="E156"/>
      <c r="F156"/>
      <c r="G156" s="41"/>
      <c r="H156" s="68"/>
      <c r="I156" s="41"/>
      <c r="J156"/>
    </row>
    <row r="157" spans="1:10" s="58" customFormat="1">
      <c r="A157" s="34"/>
      <c r="B157" s="2"/>
      <c r="D157"/>
      <c r="E157"/>
      <c r="F157"/>
      <c r="G157" s="41"/>
      <c r="H157" s="68"/>
      <c r="I157" s="41"/>
      <c r="J157"/>
    </row>
    <row r="158" spans="1:10" s="58" customFormat="1">
      <c r="A158" s="34"/>
      <c r="B158" s="2"/>
      <c r="D158"/>
      <c r="E158"/>
      <c r="F158"/>
      <c r="G158" s="41"/>
      <c r="H158" s="68"/>
      <c r="I158" s="41"/>
      <c r="J158"/>
    </row>
    <row r="159" spans="1:10" s="58" customFormat="1">
      <c r="A159" s="34"/>
      <c r="B159" s="2"/>
      <c r="D159"/>
      <c r="E159"/>
      <c r="F159"/>
      <c r="G159" s="41"/>
      <c r="H159" s="68"/>
      <c r="I159" s="41"/>
      <c r="J159"/>
    </row>
    <row r="160" spans="1:10" s="58" customFormat="1">
      <c r="A160" s="34"/>
      <c r="B160" s="2"/>
      <c r="D160"/>
      <c r="E160"/>
      <c r="F160"/>
      <c r="G160" s="41"/>
      <c r="H160" s="68"/>
      <c r="I160" s="41"/>
      <c r="J160"/>
    </row>
    <row r="161" spans="1:10" s="58" customFormat="1">
      <c r="A161" s="34"/>
      <c r="B161" s="2"/>
      <c r="D161"/>
      <c r="E161"/>
      <c r="F161"/>
      <c r="G161" s="41"/>
      <c r="H161" s="68"/>
      <c r="I161" s="41"/>
      <c r="J161"/>
    </row>
    <row r="162" spans="1:10" s="58" customFormat="1">
      <c r="A162" s="34"/>
      <c r="B162" s="2"/>
      <c r="D162"/>
      <c r="E162"/>
      <c r="F162"/>
      <c r="G162" s="41"/>
      <c r="H162" s="68"/>
      <c r="I162" s="41"/>
      <c r="J162"/>
    </row>
    <row r="163" spans="1:10" s="58" customFormat="1">
      <c r="A163" s="34"/>
      <c r="B163" s="2"/>
      <c r="D163"/>
      <c r="E163"/>
      <c r="F163"/>
      <c r="G163" s="41"/>
      <c r="H163" s="68"/>
      <c r="I163" s="41"/>
      <c r="J163"/>
    </row>
    <row r="164" spans="1:10" s="58" customFormat="1">
      <c r="A164" s="34"/>
      <c r="B164" s="2"/>
      <c r="D164"/>
      <c r="E164"/>
      <c r="F164"/>
      <c r="G164" s="41"/>
      <c r="H164" s="68"/>
      <c r="I164" s="41"/>
      <c r="J164"/>
    </row>
    <row r="165" spans="1:10" s="58" customFormat="1">
      <c r="A165" s="34"/>
      <c r="B165" s="2"/>
      <c r="D165"/>
      <c r="E165"/>
      <c r="F165"/>
      <c r="G165" s="41"/>
      <c r="H165" s="68"/>
      <c r="I165" s="41"/>
      <c r="J165"/>
    </row>
    <row r="166" spans="1:10" s="58" customFormat="1">
      <c r="A166" s="34"/>
      <c r="B166" s="2"/>
      <c r="D166"/>
      <c r="E166"/>
      <c r="F166"/>
      <c r="G166" s="41"/>
      <c r="H166" s="68"/>
      <c r="I166" s="41"/>
      <c r="J166"/>
    </row>
    <row r="167" spans="1:10" s="58" customFormat="1">
      <c r="A167" s="34"/>
      <c r="B167" s="2"/>
      <c r="D167"/>
      <c r="E167"/>
      <c r="F167"/>
      <c r="G167" s="41"/>
      <c r="H167" s="68"/>
      <c r="I167" s="41"/>
      <c r="J167"/>
    </row>
    <row r="168" spans="1:10" s="58" customFormat="1">
      <c r="A168" s="34"/>
      <c r="B168" s="2"/>
      <c r="D168"/>
      <c r="E168"/>
      <c r="F168"/>
      <c r="G168" s="41"/>
      <c r="H168" s="68"/>
      <c r="I168" s="41"/>
      <c r="J168"/>
    </row>
    <row r="169" spans="1:10" s="58" customFormat="1">
      <c r="A169" s="34"/>
      <c r="B169" s="2"/>
      <c r="D169"/>
      <c r="E169"/>
      <c r="F169"/>
      <c r="G169" s="41"/>
      <c r="H169" s="68"/>
      <c r="I169" s="41"/>
      <c r="J169"/>
    </row>
    <row r="170" spans="1:10" s="58" customFormat="1">
      <c r="A170" s="34"/>
      <c r="B170" s="2"/>
      <c r="D170"/>
      <c r="E170"/>
      <c r="F170"/>
      <c r="G170" s="41"/>
      <c r="H170" s="68"/>
      <c r="I170" s="41"/>
      <c r="J170"/>
    </row>
    <row r="171" spans="1:10" s="58" customFormat="1">
      <c r="A171" s="34"/>
      <c r="B171" s="2"/>
      <c r="D171"/>
      <c r="E171"/>
      <c r="F171"/>
      <c r="G171" s="41"/>
      <c r="H171" s="68"/>
      <c r="I171" s="41"/>
      <c r="J171"/>
    </row>
    <row r="172" spans="1:10" s="58" customFormat="1">
      <c r="A172" s="34"/>
      <c r="B172" s="2"/>
      <c r="D172"/>
      <c r="E172"/>
      <c r="F172"/>
      <c r="G172" s="41"/>
      <c r="H172" s="68"/>
      <c r="I172" s="41"/>
      <c r="J172"/>
    </row>
    <row r="173" spans="1:10" s="58" customFormat="1">
      <c r="A173" s="34"/>
      <c r="B173" s="2"/>
      <c r="D173"/>
      <c r="E173"/>
      <c r="F173"/>
      <c r="G173" s="41"/>
      <c r="H173" s="68"/>
      <c r="I173" s="41"/>
      <c r="J173"/>
    </row>
    <row r="174" spans="1:10" s="58" customFormat="1">
      <c r="A174" s="34"/>
      <c r="B174" s="2"/>
      <c r="D174"/>
      <c r="E174"/>
      <c r="F174"/>
      <c r="G174" s="41"/>
      <c r="H174" s="68"/>
      <c r="I174" s="41"/>
      <c r="J174"/>
    </row>
    <row r="175" spans="1:10" s="58" customFormat="1">
      <c r="A175" s="34"/>
      <c r="B175" s="2"/>
      <c r="D175"/>
      <c r="E175"/>
      <c r="F175"/>
      <c r="G175" s="41"/>
      <c r="H175" s="68"/>
      <c r="I175" s="41"/>
      <c r="J175"/>
    </row>
    <row r="176" spans="1:10" s="58" customFormat="1">
      <c r="A176" s="34"/>
      <c r="B176" s="2"/>
      <c r="D176"/>
      <c r="E176"/>
      <c r="F176"/>
      <c r="G176" s="41"/>
      <c r="H176" s="68"/>
      <c r="I176" s="41"/>
      <c r="J176"/>
    </row>
    <row r="177" spans="1:10" s="58" customFormat="1">
      <c r="A177" s="34"/>
      <c r="B177" s="2"/>
      <c r="D177"/>
      <c r="E177"/>
      <c r="F177"/>
      <c r="G177" s="41"/>
      <c r="H177" s="68"/>
      <c r="I177" s="41"/>
      <c r="J177"/>
    </row>
    <row r="178" spans="1:10" s="58" customFormat="1">
      <c r="A178" s="34"/>
      <c r="B178" s="2"/>
      <c r="D178"/>
      <c r="E178"/>
      <c r="F178"/>
      <c r="G178" s="41"/>
      <c r="H178" s="68"/>
      <c r="I178" s="41"/>
      <c r="J178"/>
    </row>
    <row r="179" spans="1:10" s="58" customFormat="1">
      <c r="A179" s="34"/>
      <c r="B179" s="2"/>
      <c r="D179"/>
      <c r="E179"/>
      <c r="F179"/>
      <c r="G179" s="41"/>
      <c r="H179" s="68"/>
      <c r="I179" s="41"/>
      <c r="J179"/>
    </row>
    <row r="180" spans="1:10" s="58" customFormat="1">
      <c r="A180" s="34"/>
      <c r="B180" s="2"/>
      <c r="D180"/>
      <c r="E180"/>
      <c r="F180"/>
      <c r="G180" s="41"/>
      <c r="H180" s="68"/>
      <c r="I180" s="41"/>
      <c r="J180"/>
    </row>
    <row r="181" spans="1:10" s="58" customFormat="1">
      <c r="A181" s="34"/>
      <c r="B181" s="2"/>
      <c r="D181"/>
      <c r="E181"/>
      <c r="F181"/>
      <c r="G181" s="41"/>
      <c r="H181" s="68"/>
      <c r="I181" s="41"/>
      <c r="J181"/>
    </row>
    <row r="182" spans="1:10" s="58" customFormat="1">
      <c r="A182" s="34"/>
      <c r="B182" s="2"/>
      <c r="D182"/>
      <c r="E182"/>
      <c r="F182"/>
      <c r="G182" s="41"/>
      <c r="H182" s="68"/>
      <c r="I182" s="41"/>
      <c r="J182"/>
    </row>
    <row r="183" spans="1:10" s="58" customFormat="1">
      <c r="A183" s="34"/>
      <c r="B183" s="2"/>
      <c r="D183"/>
      <c r="E183"/>
      <c r="F183"/>
      <c r="G183" s="41"/>
      <c r="H183" s="68"/>
      <c r="I183" s="41"/>
      <c r="J183"/>
    </row>
    <row r="184" spans="1:10" s="58" customFormat="1">
      <c r="A184" s="34"/>
      <c r="B184" s="2"/>
      <c r="D184"/>
      <c r="E184"/>
      <c r="F184"/>
      <c r="G184" s="41"/>
      <c r="H184" s="68"/>
      <c r="I184" s="41"/>
      <c r="J184"/>
    </row>
    <row r="185" spans="1:10" s="58" customFormat="1">
      <c r="A185" s="34"/>
      <c r="B185" s="2"/>
      <c r="D185"/>
      <c r="E185"/>
      <c r="F185"/>
      <c r="G185" s="41"/>
      <c r="H185" s="68"/>
      <c r="I185" s="41"/>
      <c r="J185"/>
    </row>
    <row r="186" spans="1:10" s="58" customFormat="1">
      <c r="A186" s="34"/>
      <c r="B186" s="2"/>
      <c r="D186"/>
      <c r="E186"/>
      <c r="F186"/>
      <c r="G186" s="41"/>
      <c r="H186" s="68"/>
      <c r="I186" s="41"/>
      <c r="J186"/>
    </row>
    <row r="187" spans="1:10" s="58" customFormat="1">
      <c r="A187" s="34"/>
      <c r="B187" s="2"/>
      <c r="D187"/>
      <c r="E187"/>
      <c r="F187"/>
      <c r="G187" s="41"/>
      <c r="H187" s="68"/>
      <c r="I187" s="41"/>
      <c r="J187"/>
    </row>
    <row r="188" spans="1:10" s="58" customFormat="1">
      <c r="A188" s="34"/>
      <c r="B188" s="2"/>
      <c r="D188"/>
      <c r="E188"/>
      <c r="F188"/>
      <c r="G188" s="41"/>
      <c r="H188" s="68"/>
      <c r="I188" s="41"/>
      <c r="J188"/>
    </row>
    <row r="189" spans="1:10" s="58" customFormat="1">
      <c r="A189" s="34"/>
      <c r="B189" s="2"/>
      <c r="D189"/>
      <c r="E189"/>
      <c r="F189"/>
      <c r="G189" s="41"/>
      <c r="H189" s="68"/>
      <c r="I189" s="41"/>
      <c r="J189"/>
    </row>
    <row r="190" spans="1:10" s="58" customFormat="1">
      <c r="A190" s="34"/>
      <c r="B190" s="2"/>
      <c r="D190"/>
      <c r="E190"/>
      <c r="F190"/>
      <c r="G190" s="41"/>
      <c r="H190" s="68"/>
      <c r="I190" s="41"/>
      <c r="J190"/>
    </row>
    <row r="191" spans="1:10" s="58" customFormat="1">
      <c r="A191" s="34"/>
      <c r="B191" s="2"/>
      <c r="D191"/>
      <c r="E191"/>
      <c r="F191"/>
      <c r="G191" s="41"/>
      <c r="H191" s="68"/>
      <c r="I191" s="41"/>
      <c r="J191"/>
    </row>
    <row r="192" spans="1:10" s="58" customFormat="1">
      <c r="A192" s="34"/>
      <c r="B192" s="2"/>
      <c r="D192"/>
      <c r="E192"/>
      <c r="F192"/>
      <c r="G192" s="41"/>
      <c r="H192" s="68"/>
      <c r="I192" s="41"/>
      <c r="J192"/>
    </row>
    <row r="193" spans="1:10" s="58" customFormat="1">
      <c r="A193" s="34"/>
      <c r="B193" s="2"/>
      <c r="D193"/>
      <c r="E193"/>
      <c r="F193"/>
      <c r="G193" s="41"/>
      <c r="H193" s="68"/>
      <c r="I193" s="41"/>
      <c r="J193"/>
    </row>
    <row r="194" spans="1:10" s="58" customFormat="1">
      <c r="A194" s="34"/>
      <c r="B194" s="2"/>
      <c r="D194"/>
      <c r="E194"/>
      <c r="F194"/>
      <c r="G194" s="41"/>
      <c r="H194" s="68"/>
      <c r="I194" s="41"/>
      <c r="J194"/>
    </row>
    <row r="195" spans="1:10" s="58" customFormat="1">
      <c r="A195" s="34"/>
      <c r="B195" s="2"/>
      <c r="D195"/>
      <c r="E195"/>
      <c r="F195"/>
      <c r="G195" s="41"/>
      <c r="H195" s="68"/>
      <c r="I195" s="41"/>
      <c r="J195"/>
    </row>
    <row r="196" spans="1:10" s="58" customFormat="1">
      <c r="A196" s="34"/>
      <c r="B196" s="2"/>
      <c r="D196"/>
      <c r="E196"/>
      <c r="F196"/>
      <c r="G196" s="41"/>
      <c r="H196" s="68"/>
      <c r="I196" s="41"/>
      <c r="J196"/>
    </row>
    <row r="197" spans="1:10" s="58" customFormat="1">
      <c r="A197" s="34"/>
      <c r="B197" s="2"/>
      <c r="D197"/>
      <c r="E197"/>
      <c r="F197"/>
      <c r="G197" s="41"/>
      <c r="H197" s="68"/>
      <c r="I197" s="41"/>
      <c r="J197"/>
    </row>
    <row r="198" spans="1:10" s="58" customFormat="1">
      <c r="A198" s="34"/>
      <c r="B198" s="2"/>
      <c r="D198"/>
      <c r="E198"/>
      <c r="F198"/>
      <c r="G198" s="41"/>
      <c r="H198" s="68"/>
      <c r="I198" s="41"/>
      <c r="J198"/>
    </row>
    <row r="199" spans="1:10" s="58" customFormat="1">
      <c r="A199" s="34"/>
      <c r="B199" s="2"/>
      <c r="D199"/>
      <c r="E199"/>
      <c r="F199"/>
      <c r="G199" s="41"/>
      <c r="H199" s="68"/>
      <c r="I199" s="41"/>
      <c r="J199"/>
    </row>
    <row r="200" spans="1:10" s="58" customFormat="1">
      <c r="A200" s="34"/>
      <c r="B200" s="2"/>
      <c r="D200"/>
      <c r="E200"/>
      <c r="F200"/>
      <c r="G200" s="41"/>
      <c r="H200" s="68"/>
      <c r="I200" s="41"/>
      <c r="J200"/>
    </row>
    <row r="201" spans="1:10" s="58" customFormat="1">
      <c r="A201" s="34"/>
      <c r="B201" s="2"/>
      <c r="D201"/>
      <c r="E201"/>
      <c r="F201"/>
      <c r="G201" s="41"/>
      <c r="H201" s="68"/>
      <c r="I201" s="41"/>
      <c r="J201"/>
    </row>
    <row r="202" spans="1:10" s="58" customFormat="1">
      <c r="A202" s="34"/>
      <c r="B202" s="2"/>
      <c r="D202"/>
      <c r="E202"/>
      <c r="F202"/>
      <c r="G202" s="41"/>
      <c r="H202" s="68"/>
      <c r="I202" s="41"/>
      <c r="J202"/>
    </row>
    <row r="203" spans="1:10" s="58" customFormat="1">
      <c r="A203" s="34"/>
      <c r="B203" s="2"/>
      <c r="D203"/>
      <c r="E203"/>
      <c r="F203"/>
      <c r="G203" s="41"/>
      <c r="H203" s="68"/>
      <c r="I203" s="41"/>
      <c r="J203"/>
    </row>
    <row r="204" spans="1:10" s="58" customFormat="1">
      <c r="A204" s="34"/>
      <c r="B204" s="2"/>
      <c r="D204"/>
      <c r="E204"/>
      <c r="F204"/>
      <c r="G204" s="41"/>
      <c r="H204" s="68"/>
      <c r="I204" s="41"/>
      <c r="J204"/>
    </row>
    <row r="205" spans="1:10" s="58" customFormat="1">
      <c r="A205" s="34"/>
      <c r="B205" s="2"/>
      <c r="D205"/>
      <c r="E205"/>
      <c r="F205"/>
      <c r="G205" s="41"/>
      <c r="H205" s="68"/>
      <c r="I205" s="41"/>
      <c r="J205"/>
    </row>
    <row r="206" spans="1:10" s="58" customFormat="1">
      <c r="A206" s="34"/>
      <c r="B206" s="2"/>
      <c r="D206"/>
      <c r="E206"/>
      <c r="F206"/>
      <c r="G206" s="41"/>
      <c r="H206" s="68"/>
      <c r="I206" s="41"/>
      <c r="J206"/>
    </row>
    <row r="207" spans="1:10" s="58" customFormat="1">
      <c r="A207" s="34"/>
      <c r="B207" s="2"/>
      <c r="D207"/>
      <c r="E207"/>
      <c r="F207"/>
      <c r="G207" s="41"/>
      <c r="H207" s="68"/>
      <c r="I207" s="41"/>
      <c r="J207"/>
    </row>
    <row r="208" spans="1:10" s="58" customFormat="1">
      <c r="A208" s="34"/>
      <c r="B208" s="2"/>
      <c r="D208"/>
      <c r="E208"/>
      <c r="F208"/>
      <c r="G208" s="41"/>
      <c r="H208" s="68"/>
      <c r="I208" s="41"/>
      <c r="J208"/>
    </row>
    <row r="209" spans="1:10" s="58" customFormat="1">
      <c r="A209" s="34"/>
      <c r="B209" s="2"/>
      <c r="D209"/>
      <c r="E209"/>
      <c r="F209"/>
      <c r="G209" s="41"/>
      <c r="H209" s="68"/>
      <c r="I209" s="41"/>
      <c r="J209"/>
    </row>
    <row r="210" spans="1:10" s="58" customFormat="1">
      <c r="A210" s="34"/>
      <c r="B210" s="2"/>
      <c r="D210"/>
      <c r="E210"/>
      <c r="F210"/>
      <c r="G210" s="41"/>
      <c r="H210" s="68"/>
      <c r="I210" s="41"/>
      <c r="J210"/>
    </row>
    <row r="211" spans="1:10" s="58" customFormat="1">
      <c r="A211" s="34"/>
      <c r="B211" s="2"/>
      <c r="D211"/>
      <c r="E211"/>
      <c r="F211"/>
      <c r="G211" s="41"/>
      <c r="H211" s="68"/>
      <c r="I211" s="41"/>
      <c r="J211"/>
    </row>
    <row r="212" spans="1:10" s="58" customFormat="1">
      <c r="A212" s="34"/>
      <c r="B212" s="2"/>
      <c r="D212"/>
      <c r="E212"/>
      <c r="F212"/>
      <c r="G212" s="41"/>
      <c r="H212" s="68"/>
      <c r="I212" s="41"/>
      <c r="J212"/>
    </row>
    <row r="213" spans="1:10" s="58" customFormat="1">
      <c r="A213" s="34"/>
      <c r="B213" s="2"/>
      <c r="D213"/>
      <c r="E213"/>
      <c r="F213"/>
      <c r="G213" s="41"/>
      <c r="H213" s="68"/>
      <c r="I213" s="41"/>
      <c r="J213"/>
    </row>
    <row r="214" spans="1:10" s="58" customFormat="1">
      <c r="A214" s="34"/>
      <c r="B214" s="2"/>
      <c r="D214"/>
      <c r="E214"/>
      <c r="F214"/>
      <c r="G214" s="41"/>
      <c r="H214" s="68"/>
      <c r="I214" s="41"/>
      <c r="J214"/>
    </row>
    <row r="215" spans="1:10" s="58" customFormat="1">
      <c r="A215" s="34"/>
      <c r="B215" s="2"/>
      <c r="D215"/>
      <c r="E215"/>
      <c r="F215"/>
      <c r="G215" s="41"/>
      <c r="H215" s="68"/>
      <c r="I215" s="41"/>
      <c r="J215"/>
    </row>
    <row r="216" spans="1:10" s="58" customFormat="1">
      <c r="A216" s="34"/>
      <c r="B216" s="2"/>
      <c r="D216"/>
      <c r="E216"/>
      <c r="F216"/>
      <c r="G216" s="41"/>
      <c r="H216" s="68"/>
      <c r="I216" s="41"/>
      <c r="J216"/>
    </row>
    <row r="217" spans="1:10" s="58" customFormat="1">
      <c r="A217" s="34"/>
      <c r="B217" s="2"/>
      <c r="D217"/>
      <c r="E217"/>
      <c r="F217"/>
      <c r="G217" s="41"/>
      <c r="H217" s="68"/>
      <c r="I217" s="41"/>
      <c r="J217"/>
    </row>
    <row r="218" spans="1:10" s="58" customFormat="1">
      <c r="A218" s="34"/>
      <c r="B218" s="2"/>
      <c r="D218"/>
      <c r="E218"/>
      <c r="F218"/>
      <c r="G218" s="41"/>
      <c r="H218" s="68"/>
      <c r="I218" s="41"/>
      <c r="J218"/>
    </row>
    <row r="219" spans="1:10" s="58" customFormat="1">
      <c r="A219" s="34"/>
      <c r="B219" s="2"/>
      <c r="D219"/>
      <c r="E219"/>
      <c r="F219"/>
      <c r="G219" s="41"/>
      <c r="H219" s="68"/>
      <c r="I219" s="41"/>
      <c r="J219"/>
    </row>
    <row r="220" spans="1:10" s="58" customFormat="1">
      <c r="A220" s="34"/>
      <c r="B220" s="2"/>
      <c r="D220"/>
      <c r="E220"/>
      <c r="F220"/>
      <c r="G220" s="41"/>
      <c r="H220" s="68"/>
      <c r="I220" s="41"/>
      <c r="J220"/>
    </row>
    <row r="221" spans="1:10" s="58" customFormat="1">
      <c r="A221" s="34"/>
      <c r="B221" s="2"/>
      <c r="D221"/>
      <c r="E221"/>
      <c r="F221"/>
      <c r="G221" s="41"/>
      <c r="H221" s="68"/>
      <c r="I221" s="41"/>
      <c r="J221"/>
    </row>
    <row r="222" spans="1:10" s="58" customFormat="1">
      <c r="A222" s="34"/>
      <c r="B222" s="2"/>
      <c r="D222"/>
      <c r="E222"/>
      <c r="F222"/>
      <c r="G222" s="41"/>
      <c r="H222" s="68"/>
      <c r="I222" s="41"/>
      <c r="J222"/>
    </row>
    <row r="223" spans="1:10" s="58" customFormat="1">
      <c r="A223" s="34"/>
      <c r="B223" s="2"/>
      <c r="D223"/>
      <c r="E223"/>
      <c r="F223"/>
      <c r="G223" s="41"/>
      <c r="H223" s="68"/>
      <c r="I223" s="41"/>
      <c r="J223"/>
    </row>
    <row r="224" spans="1:10" s="58" customFormat="1">
      <c r="A224" s="34"/>
      <c r="B224" s="2"/>
      <c r="D224"/>
      <c r="E224"/>
      <c r="F224"/>
      <c r="G224" s="41"/>
      <c r="H224" s="68"/>
      <c r="I224" s="41"/>
      <c r="J224"/>
    </row>
    <row r="225" spans="1:10" s="58" customFormat="1">
      <c r="A225" s="34"/>
      <c r="B225" s="2"/>
      <c r="D225"/>
      <c r="E225"/>
      <c r="F225"/>
      <c r="G225" s="41"/>
      <c r="H225" s="68"/>
      <c r="I225" s="41"/>
      <c r="J225"/>
    </row>
    <row r="226" spans="1:10" s="58" customFormat="1">
      <c r="A226" s="34"/>
      <c r="B226" s="2"/>
      <c r="D226"/>
      <c r="E226"/>
      <c r="F226"/>
      <c r="G226" s="41"/>
      <c r="H226" s="68"/>
      <c r="I226" s="41"/>
      <c r="J226"/>
    </row>
    <row r="227" spans="1:10" s="58" customFormat="1">
      <c r="A227" s="34"/>
      <c r="B227" s="2"/>
      <c r="D227"/>
      <c r="E227"/>
      <c r="F227"/>
      <c r="G227" s="41"/>
      <c r="H227" s="68"/>
      <c r="I227" s="41"/>
      <c r="J227"/>
    </row>
    <row r="228" spans="1:10" s="58" customFormat="1">
      <c r="A228" s="34"/>
      <c r="B228" s="2"/>
      <c r="D228"/>
      <c r="E228"/>
      <c r="F228"/>
      <c r="G228" s="41"/>
      <c r="H228" s="68"/>
      <c r="I228" s="41"/>
      <c r="J228"/>
    </row>
    <row r="229" spans="1:10" s="58" customFormat="1">
      <c r="A229" s="34"/>
      <c r="B229" s="2"/>
      <c r="D229"/>
      <c r="E229"/>
      <c r="F229"/>
      <c r="G229" s="41"/>
      <c r="H229" s="68"/>
      <c r="I229" s="41"/>
      <c r="J229"/>
    </row>
    <row r="230" spans="1:10" s="58" customFormat="1">
      <c r="A230" s="34"/>
      <c r="B230" s="2"/>
      <c r="D230"/>
      <c r="E230"/>
      <c r="F230"/>
      <c r="G230" s="41"/>
      <c r="H230" s="68"/>
      <c r="I230" s="41"/>
      <c r="J230"/>
    </row>
    <row r="231" spans="1:10" s="58" customFormat="1">
      <c r="A231" s="34"/>
      <c r="B231" s="2"/>
      <c r="D231"/>
      <c r="E231"/>
      <c r="F231"/>
      <c r="G231" s="41"/>
      <c r="H231" s="68"/>
      <c r="I231" s="41"/>
      <c r="J231"/>
    </row>
    <row r="232" spans="1:10" s="58" customFormat="1">
      <c r="A232" s="34"/>
      <c r="B232" s="2"/>
      <c r="D232"/>
      <c r="E232"/>
      <c r="F232"/>
      <c r="G232" s="41"/>
      <c r="H232" s="68"/>
      <c r="I232" s="41"/>
      <c r="J232"/>
    </row>
    <row r="233" spans="1:10" s="58" customFormat="1">
      <c r="A233" s="34"/>
      <c r="B233" s="2"/>
      <c r="D233"/>
      <c r="E233"/>
      <c r="F233"/>
      <c r="G233" s="41"/>
      <c r="H233" s="68"/>
      <c r="I233" s="41"/>
      <c r="J233"/>
    </row>
    <row r="234" spans="1:10" s="58" customFormat="1">
      <c r="A234" s="34"/>
      <c r="B234" s="2"/>
      <c r="D234"/>
      <c r="E234"/>
      <c r="F234"/>
      <c r="G234" s="41"/>
      <c r="H234" s="68"/>
      <c r="I234" s="41"/>
      <c r="J234"/>
    </row>
    <row r="235" spans="1:10" s="58" customFormat="1">
      <c r="A235" s="34"/>
      <c r="B235" s="2"/>
      <c r="D235"/>
      <c r="E235"/>
      <c r="F235"/>
      <c r="G235" s="41"/>
      <c r="H235" s="68"/>
      <c r="I235" s="41"/>
      <c r="J235"/>
    </row>
    <row r="236" spans="1:10" s="58" customFormat="1">
      <c r="A236" s="34"/>
      <c r="B236" s="2"/>
      <c r="D236"/>
      <c r="E236"/>
      <c r="F236"/>
      <c r="G236" s="41"/>
      <c r="H236" s="68"/>
      <c r="I236" s="41"/>
      <c r="J236"/>
    </row>
    <row r="237" spans="1:10" s="58" customFormat="1">
      <c r="A237" s="34"/>
      <c r="B237" s="2"/>
      <c r="D237"/>
      <c r="E237"/>
      <c r="F237"/>
      <c r="G237" s="41"/>
      <c r="H237" s="68"/>
      <c r="I237" s="41"/>
      <c r="J237"/>
    </row>
    <row r="238" spans="1:10" s="58" customFormat="1">
      <c r="A238" s="34"/>
      <c r="B238" s="2"/>
      <c r="D238"/>
      <c r="E238"/>
      <c r="F238"/>
      <c r="G238" s="41"/>
      <c r="H238" s="68"/>
      <c r="I238" s="41"/>
      <c r="J238"/>
    </row>
    <row r="239" spans="1:10" s="58" customFormat="1">
      <c r="A239" s="34"/>
      <c r="B239" s="2"/>
      <c r="D239"/>
      <c r="E239"/>
      <c r="F239"/>
      <c r="G239" s="41"/>
      <c r="H239" s="68"/>
      <c r="I239" s="41"/>
      <c r="J239"/>
    </row>
    <row r="240" spans="1:10" s="58" customFormat="1">
      <c r="A240" s="34"/>
      <c r="B240" s="2"/>
      <c r="D240"/>
      <c r="E240"/>
      <c r="F240"/>
      <c r="G240" s="41"/>
      <c r="H240" s="68"/>
      <c r="I240" s="41"/>
      <c r="J240"/>
    </row>
    <row r="241" spans="1:10" s="58" customFormat="1">
      <c r="A241" s="34"/>
      <c r="B241" s="2"/>
      <c r="D241"/>
      <c r="E241"/>
      <c r="F241"/>
      <c r="G241" s="41"/>
      <c r="H241" s="68"/>
      <c r="I241" s="41"/>
      <c r="J241"/>
    </row>
    <row r="242" spans="1:10" s="58" customFormat="1">
      <c r="A242" s="34"/>
      <c r="B242" s="2"/>
      <c r="D242"/>
      <c r="E242"/>
      <c r="F242"/>
      <c r="G242" s="41"/>
      <c r="H242" s="68"/>
      <c r="I242" s="41"/>
      <c r="J242"/>
    </row>
    <row r="243" spans="1:10" s="58" customFormat="1">
      <c r="A243" s="34"/>
      <c r="B243" s="2"/>
      <c r="D243"/>
      <c r="E243"/>
      <c r="F243"/>
      <c r="G243" s="41"/>
      <c r="H243" s="68"/>
      <c r="I243" s="41"/>
      <c r="J243"/>
    </row>
    <row r="244" spans="1:10" s="58" customFormat="1">
      <c r="A244" s="34"/>
      <c r="B244" s="2"/>
      <c r="D244"/>
      <c r="E244"/>
      <c r="F244"/>
      <c r="G244" s="41"/>
      <c r="H244" s="68"/>
      <c r="I244" s="41"/>
      <c r="J244"/>
    </row>
    <row r="245" spans="1:10" s="58" customFormat="1">
      <c r="A245" s="34"/>
      <c r="B245" s="2"/>
      <c r="D245"/>
      <c r="E245"/>
      <c r="F245"/>
      <c r="G245" s="41"/>
      <c r="H245" s="68"/>
      <c r="I245" s="41"/>
      <c r="J245"/>
    </row>
    <row r="246" spans="1:10" s="58" customFormat="1">
      <c r="A246" s="34"/>
      <c r="B246" s="2"/>
      <c r="D246"/>
      <c r="E246"/>
      <c r="F246"/>
      <c r="G246" s="41"/>
      <c r="H246" s="68"/>
      <c r="I246" s="41"/>
      <c r="J246"/>
    </row>
    <row r="247" spans="1:10" s="58" customFormat="1">
      <c r="A247" s="34"/>
      <c r="B247" s="2"/>
      <c r="D247"/>
      <c r="E247"/>
      <c r="F247"/>
      <c r="G247" s="41"/>
      <c r="H247" s="68"/>
      <c r="I247" s="41"/>
      <c r="J247"/>
    </row>
    <row r="248" spans="1:10" s="58" customFormat="1">
      <c r="A248" s="34"/>
      <c r="B248" s="2"/>
      <c r="D248"/>
      <c r="E248"/>
      <c r="F248"/>
      <c r="G248" s="41"/>
      <c r="H248" s="68"/>
      <c r="I248" s="41"/>
      <c r="J248"/>
    </row>
    <row r="249" spans="1:10" s="58" customFormat="1">
      <c r="A249" s="34"/>
      <c r="B249" s="2"/>
      <c r="D249"/>
      <c r="E249"/>
      <c r="F249"/>
      <c r="G249" s="41"/>
      <c r="H249" s="68"/>
      <c r="I249" s="41"/>
      <c r="J249"/>
    </row>
    <row r="250" spans="1:10" s="58" customFormat="1">
      <c r="A250" s="34"/>
      <c r="B250" s="2"/>
      <c r="D250"/>
      <c r="E250"/>
      <c r="F250"/>
      <c r="G250" s="41"/>
      <c r="H250" s="68"/>
      <c r="I250" s="41"/>
      <c r="J250"/>
    </row>
    <row r="251" spans="1:10" s="58" customFormat="1">
      <c r="A251" s="34"/>
      <c r="B251" s="2"/>
      <c r="D251"/>
      <c r="E251"/>
      <c r="F251"/>
      <c r="G251" s="41"/>
      <c r="H251" s="68"/>
      <c r="I251" s="41"/>
      <c r="J251"/>
    </row>
    <row r="252" spans="1:10" s="58" customFormat="1">
      <c r="A252" s="34"/>
      <c r="B252" s="2"/>
      <c r="D252"/>
      <c r="E252"/>
      <c r="F252"/>
      <c r="G252" s="41"/>
      <c r="H252" s="68"/>
      <c r="I252" s="41"/>
      <c r="J252"/>
    </row>
    <row r="253" spans="1:10" s="58" customFormat="1">
      <c r="A253" s="34"/>
      <c r="B253" s="2"/>
      <c r="D253"/>
      <c r="E253"/>
      <c r="F253"/>
      <c r="G253" s="41"/>
      <c r="H253" s="68"/>
      <c r="I253" s="41"/>
      <c r="J253"/>
    </row>
    <row r="254" spans="1:10" s="58" customFormat="1">
      <c r="A254" s="34"/>
      <c r="B254" s="2"/>
      <c r="D254"/>
      <c r="E254"/>
      <c r="F254"/>
      <c r="G254" s="41"/>
      <c r="H254" s="68"/>
      <c r="I254" s="41"/>
      <c r="J254"/>
    </row>
    <row r="255" spans="1:10" s="58" customFormat="1">
      <c r="A255" s="34"/>
      <c r="B255" s="2"/>
      <c r="D255"/>
      <c r="E255"/>
      <c r="F255"/>
      <c r="G255" s="41"/>
      <c r="H255" s="68"/>
      <c r="I255" s="41"/>
      <c r="J255"/>
    </row>
    <row r="256" spans="1:10" s="58" customFormat="1">
      <c r="A256" s="34"/>
      <c r="B256" s="2"/>
      <c r="D256"/>
      <c r="E256"/>
      <c r="F256"/>
      <c r="G256" s="41"/>
      <c r="H256" s="68"/>
      <c r="I256" s="41"/>
      <c r="J256"/>
    </row>
    <row r="257" spans="1:10" s="58" customFormat="1">
      <c r="A257" s="34"/>
      <c r="B257" s="2"/>
      <c r="D257"/>
      <c r="E257"/>
      <c r="F257"/>
      <c r="G257" s="41"/>
      <c r="H257" s="68"/>
      <c r="I257" s="41"/>
      <c r="J257"/>
    </row>
    <row r="258" spans="1:10" s="58" customFormat="1">
      <c r="A258" s="34"/>
      <c r="B258" s="2"/>
      <c r="D258"/>
      <c r="E258"/>
      <c r="F258"/>
      <c r="G258" s="41"/>
      <c r="H258" s="68"/>
      <c r="I258" s="41"/>
      <c r="J258"/>
    </row>
    <row r="259" spans="1:10" s="58" customFormat="1">
      <c r="A259" s="34"/>
      <c r="B259" s="2"/>
      <c r="D259"/>
      <c r="E259"/>
      <c r="F259"/>
      <c r="G259" s="41"/>
      <c r="H259" s="68"/>
      <c r="I259" s="41"/>
      <c r="J259"/>
    </row>
    <row r="260" spans="1:10" s="58" customFormat="1">
      <c r="A260" s="34"/>
      <c r="B260" s="2"/>
      <c r="D260"/>
      <c r="E260"/>
      <c r="F260"/>
      <c r="G260" s="41"/>
      <c r="H260" s="68"/>
      <c r="I260" s="41"/>
      <c r="J260"/>
    </row>
    <row r="261" spans="1:10" s="58" customFormat="1">
      <c r="A261" s="34"/>
      <c r="B261" s="2"/>
      <c r="D261"/>
      <c r="E261"/>
      <c r="F261"/>
      <c r="G261" s="41"/>
      <c r="H261" s="68"/>
      <c r="I261" s="41"/>
      <c r="J261"/>
    </row>
    <row r="262" spans="1:10" s="58" customFormat="1">
      <c r="A262" s="34"/>
      <c r="B262" s="2"/>
      <c r="D262"/>
      <c r="E262"/>
      <c r="F262"/>
      <c r="G262" s="41"/>
      <c r="H262" s="68"/>
      <c r="I262" s="41"/>
      <c r="J262"/>
    </row>
    <row r="263" spans="1:10" s="58" customFormat="1">
      <c r="A263" s="34"/>
      <c r="B263" s="2"/>
      <c r="D263"/>
      <c r="E263"/>
      <c r="F263"/>
      <c r="G263" s="41"/>
      <c r="H263" s="68"/>
      <c r="I263" s="41"/>
      <c r="J263"/>
    </row>
    <row r="264" spans="1:10" s="58" customFormat="1">
      <c r="A264" s="34"/>
      <c r="B264" s="2"/>
      <c r="D264"/>
      <c r="E264"/>
      <c r="F264"/>
      <c r="G264" s="41"/>
      <c r="H264" s="68"/>
      <c r="I264" s="41"/>
      <c r="J264"/>
    </row>
    <row r="265" spans="1:10" s="58" customFormat="1">
      <c r="A265" s="34"/>
      <c r="B265" s="2"/>
      <c r="D265"/>
      <c r="E265"/>
      <c r="F265"/>
      <c r="G265" s="41"/>
      <c r="H265" s="68"/>
      <c r="I265" s="41"/>
      <c r="J265"/>
    </row>
    <row r="266" spans="1:10" s="58" customFormat="1">
      <c r="A266" s="34"/>
      <c r="B266" s="2"/>
      <c r="D266"/>
      <c r="E266"/>
      <c r="F266"/>
      <c r="G266" s="41"/>
      <c r="H266" s="68"/>
      <c r="I266" s="41"/>
      <c r="J266"/>
    </row>
    <row r="267" spans="1:10" s="58" customFormat="1">
      <c r="A267" s="34"/>
      <c r="B267" s="2"/>
      <c r="D267"/>
      <c r="E267"/>
      <c r="F267"/>
      <c r="G267" s="41"/>
      <c r="H267" s="68"/>
      <c r="I267" s="41"/>
      <c r="J267"/>
    </row>
    <row r="268" spans="1:10" s="58" customFormat="1">
      <c r="A268" s="34"/>
      <c r="B268" s="2"/>
      <c r="D268"/>
      <c r="E268"/>
      <c r="F268"/>
      <c r="G268" s="41"/>
      <c r="H268" s="68"/>
      <c r="I268" s="41"/>
      <c r="J268"/>
    </row>
    <row r="269" spans="1:10" s="58" customFormat="1">
      <c r="A269" s="34"/>
      <c r="B269" s="2"/>
      <c r="D269"/>
      <c r="E269"/>
      <c r="F269"/>
      <c r="G269" s="41"/>
      <c r="H269" s="68"/>
      <c r="I269" s="41"/>
      <c r="J269"/>
    </row>
    <row r="270" spans="1:10" s="58" customFormat="1">
      <c r="A270" s="34"/>
      <c r="B270" s="2"/>
      <c r="D270"/>
      <c r="E270"/>
      <c r="F270"/>
      <c r="G270" s="41"/>
      <c r="H270" s="68"/>
      <c r="I270" s="41"/>
      <c r="J270"/>
    </row>
    <row r="271" spans="1:10" s="58" customFormat="1">
      <c r="A271" s="34"/>
      <c r="B271" s="2"/>
      <c r="D271"/>
      <c r="E271"/>
      <c r="F271"/>
      <c r="G271" s="41"/>
      <c r="H271" s="68"/>
      <c r="I271" s="41"/>
      <c r="J271"/>
    </row>
    <row r="272" spans="1:10" s="58" customFormat="1">
      <c r="A272" s="34"/>
      <c r="B272" s="2"/>
      <c r="D272"/>
      <c r="E272"/>
      <c r="F272"/>
      <c r="G272" s="41"/>
      <c r="H272" s="68"/>
      <c r="I272" s="41"/>
      <c r="J272"/>
    </row>
    <row r="273" spans="1:10" s="58" customFormat="1">
      <c r="A273" s="34"/>
      <c r="B273" s="2"/>
      <c r="D273"/>
      <c r="E273"/>
      <c r="F273"/>
      <c r="G273" s="41"/>
      <c r="H273" s="68"/>
      <c r="I273" s="41"/>
      <c r="J273"/>
    </row>
    <row r="274" spans="1:10" s="58" customFormat="1">
      <c r="A274" s="34"/>
      <c r="B274" s="2"/>
      <c r="D274"/>
      <c r="E274"/>
      <c r="F274"/>
      <c r="G274" s="41"/>
      <c r="H274" s="68"/>
      <c r="I274" s="41"/>
      <c r="J274"/>
    </row>
    <row r="275" spans="1:10" s="58" customFormat="1">
      <c r="A275" s="34"/>
      <c r="B275" s="2"/>
      <c r="D275"/>
      <c r="E275"/>
      <c r="F275"/>
      <c r="G275" s="41"/>
      <c r="H275" s="68"/>
      <c r="I275" s="41"/>
      <c r="J275"/>
    </row>
    <row r="276" spans="1:10" s="58" customFormat="1">
      <c r="A276" s="34"/>
      <c r="B276" s="2"/>
      <c r="D276"/>
      <c r="E276"/>
      <c r="F276"/>
      <c r="G276" s="41"/>
      <c r="H276" s="68"/>
      <c r="I276" s="41"/>
      <c r="J276"/>
    </row>
    <row r="277" spans="1:10" s="58" customFormat="1">
      <c r="A277" s="34"/>
      <c r="B277" s="2"/>
      <c r="D277"/>
      <c r="E277"/>
      <c r="F277"/>
      <c r="G277" s="41"/>
      <c r="H277" s="68"/>
      <c r="I277" s="41"/>
      <c r="J277"/>
    </row>
    <row r="278" spans="1:10" s="58" customFormat="1">
      <c r="A278" s="34"/>
      <c r="B278" s="2"/>
      <c r="D278"/>
      <c r="E278"/>
      <c r="F278"/>
      <c r="G278" s="41"/>
      <c r="H278" s="68"/>
      <c r="I278" s="41"/>
      <c r="J278"/>
    </row>
    <row r="279" spans="1:10" s="58" customFormat="1">
      <c r="A279" s="34"/>
      <c r="B279" s="2"/>
      <c r="D279"/>
      <c r="E279"/>
      <c r="F279"/>
      <c r="G279" s="41"/>
      <c r="H279" s="68"/>
      <c r="I279" s="41"/>
      <c r="J279"/>
    </row>
    <row r="280" spans="1:10" s="58" customFormat="1">
      <c r="A280" s="34"/>
      <c r="B280" s="2"/>
      <c r="D280"/>
      <c r="E280"/>
      <c r="F280"/>
      <c r="G280" s="41"/>
      <c r="H280" s="68"/>
      <c r="I280" s="41"/>
      <c r="J280"/>
    </row>
    <row r="281" spans="1:10" s="58" customFormat="1">
      <c r="A281" s="34"/>
      <c r="B281" s="2"/>
      <c r="D281"/>
      <c r="E281"/>
      <c r="F281"/>
      <c r="G281" s="41"/>
      <c r="H281" s="68"/>
      <c r="I281" s="41"/>
      <c r="J281"/>
    </row>
    <row r="282" spans="1:10" s="58" customFormat="1">
      <c r="A282" s="34"/>
      <c r="B282" s="2"/>
      <c r="D282"/>
      <c r="E282"/>
      <c r="F282"/>
      <c r="G282" s="41"/>
      <c r="H282" s="68"/>
      <c r="I282" s="41"/>
      <c r="J282"/>
    </row>
    <row r="283" spans="1:10" s="58" customFormat="1">
      <c r="A283" s="34"/>
      <c r="B283" s="2"/>
      <c r="D283"/>
      <c r="E283"/>
      <c r="F283"/>
      <c r="G283" s="41"/>
      <c r="H283" s="68"/>
      <c r="I283" s="41"/>
      <c r="J283"/>
    </row>
    <row r="284" spans="1:10" s="58" customFormat="1">
      <c r="A284" s="34"/>
      <c r="B284" s="2"/>
      <c r="D284"/>
      <c r="E284"/>
      <c r="F284"/>
      <c r="G284" s="41"/>
      <c r="H284" s="68"/>
      <c r="I284" s="41"/>
      <c r="J284"/>
    </row>
    <row r="285" spans="1:10" s="58" customFormat="1">
      <c r="A285" s="34"/>
      <c r="B285" s="2"/>
      <c r="D285"/>
      <c r="E285"/>
      <c r="F285"/>
      <c r="G285" s="41"/>
      <c r="H285" s="68"/>
      <c r="I285" s="41"/>
      <c r="J285"/>
    </row>
    <row r="286" spans="1:10" s="58" customFormat="1">
      <c r="A286" s="34"/>
      <c r="B286" s="2"/>
      <c r="D286"/>
      <c r="E286"/>
      <c r="F286"/>
      <c r="G286" s="41"/>
      <c r="H286" s="68"/>
      <c r="I286" s="41"/>
      <c r="J286"/>
    </row>
    <row r="287" spans="1:10" s="58" customFormat="1">
      <c r="A287" s="34"/>
      <c r="B287" s="2"/>
      <c r="D287"/>
      <c r="E287"/>
      <c r="F287"/>
      <c r="G287" s="41"/>
      <c r="H287" s="68"/>
      <c r="I287" s="41"/>
      <c r="J287"/>
    </row>
    <row r="288" spans="1:10" s="58" customFormat="1">
      <c r="A288" s="34"/>
      <c r="B288" s="2"/>
      <c r="D288"/>
      <c r="E288"/>
      <c r="F288"/>
      <c r="G288" s="41"/>
      <c r="H288" s="68"/>
      <c r="I288" s="41"/>
      <c r="J288"/>
    </row>
    <row r="289" spans="1:10" s="58" customFormat="1">
      <c r="A289" s="34"/>
      <c r="B289" s="2"/>
      <c r="D289"/>
      <c r="E289"/>
      <c r="F289"/>
      <c r="G289" s="41"/>
      <c r="H289" s="68"/>
      <c r="I289" s="41"/>
      <c r="J289"/>
    </row>
    <row r="290" spans="1:10" s="58" customFormat="1">
      <c r="A290" s="34"/>
      <c r="B290" s="2"/>
      <c r="D290"/>
      <c r="E290"/>
      <c r="F290"/>
      <c r="G290" s="41"/>
      <c r="H290" s="68"/>
      <c r="I290" s="41"/>
      <c r="J290"/>
    </row>
    <row r="291" spans="1:10" s="58" customFormat="1">
      <c r="A291" s="34"/>
      <c r="B291" s="2"/>
      <c r="D291"/>
      <c r="E291"/>
      <c r="F291"/>
      <c r="G291" s="41"/>
      <c r="H291" s="68"/>
      <c r="I291" s="41"/>
      <c r="J291"/>
    </row>
    <row r="292" spans="1:10" s="58" customFormat="1">
      <c r="A292" s="34"/>
      <c r="B292" s="2"/>
      <c r="D292"/>
      <c r="E292"/>
      <c r="F292"/>
      <c r="G292" s="41"/>
      <c r="H292" s="68"/>
      <c r="I292" s="41"/>
      <c r="J292"/>
    </row>
    <row r="293" spans="1:10" s="58" customFormat="1">
      <c r="A293" s="34"/>
      <c r="B293" s="2"/>
      <c r="D293"/>
      <c r="E293"/>
      <c r="F293"/>
      <c r="G293" s="41"/>
      <c r="H293" s="68"/>
      <c r="I293" s="41"/>
      <c r="J293"/>
    </row>
    <row r="294" spans="1:10" s="58" customFormat="1">
      <c r="A294" s="34"/>
      <c r="B294" s="2"/>
      <c r="D294"/>
      <c r="E294"/>
      <c r="F294"/>
      <c r="G294" s="41"/>
      <c r="H294" s="68"/>
      <c r="I294" s="41"/>
      <c r="J294"/>
    </row>
    <row r="295" spans="1:10" s="58" customFormat="1">
      <c r="A295" s="34"/>
      <c r="B295" s="2"/>
      <c r="D295"/>
      <c r="E295"/>
      <c r="F295"/>
      <c r="G295" s="41"/>
      <c r="H295" s="68"/>
      <c r="I295" s="41"/>
      <c r="J295"/>
    </row>
    <row r="296" spans="1:10" s="58" customFormat="1">
      <c r="A296" s="34"/>
      <c r="B296" s="2"/>
      <c r="D296"/>
      <c r="E296"/>
      <c r="F296"/>
      <c r="G296" s="41"/>
      <c r="H296" s="68"/>
      <c r="I296" s="41"/>
      <c r="J296"/>
    </row>
    <row r="297" spans="1:10" s="58" customFormat="1">
      <c r="A297" s="34"/>
      <c r="B297" s="2"/>
      <c r="D297"/>
      <c r="E297"/>
      <c r="F297"/>
      <c r="G297" s="41"/>
      <c r="H297" s="68"/>
      <c r="I297" s="41"/>
      <c r="J297"/>
    </row>
    <row r="298" spans="1:10" s="58" customFormat="1">
      <c r="A298" s="34"/>
      <c r="B298" s="2"/>
      <c r="D298"/>
      <c r="E298"/>
      <c r="F298"/>
      <c r="G298" s="41"/>
      <c r="H298" s="68"/>
      <c r="I298" s="41"/>
      <c r="J298"/>
    </row>
    <row r="299" spans="1:10" s="58" customFormat="1">
      <c r="A299" s="34"/>
      <c r="B299" s="2"/>
      <c r="D299"/>
      <c r="E299"/>
      <c r="F299"/>
      <c r="G299" s="41"/>
      <c r="H299" s="68"/>
      <c r="I299" s="41"/>
      <c r="J299"/>
    </row>
    <row r="300" spans="1:10" s="58" customFormat="1">
      <c r="A300" s="34"/>
      <c r="B300" s="2"/>
      <c r="D300"/>
      <c r="E300"/>
      <c r="F300"/>
      <c r="G300" s="41"/>
      <c r="H300" s="68"/>
      <c r="I300" s="41"/>
      <c r="J300"/>
    </row>
    <row r="301" spans="1:10" s="58" customFormat="1">
      <c r="A301" s="34"/>
      <c r="B301" s="2"/>
      <c r="D301"/>
      <c r="E301"/>
      <c r="F301"/>
      <c r="G301" s="41"/>
      <c r="H301" s="68"/>
      <c r="I301" s="41"/>
      <c r="J301"/>
    </row>
    <row r="302" spans="1:10" s="58" customFormat="1">
      <c r="A302" s="34"/>
      <c r="B302" s="2"/>
      <c r="D302"/>
      <c r="E302"/>
      <c r="F302"/>
      <c r="G302" s="41"/>
      <c r="H302" s="68"/>
      <c r="I302" s="41"/>
      <c r="J302"/>
    </row>
    <row r="303" spans="1:10" s="58" customFormat="1">
      <c r="A303" s="34"/>
      <c r="B303" s="2"/>
      <c r="D303"/>
      <c r="E303"/>
      <c r="F303"/>
      <c r="G303" s="41"/>
      <c r="H303" s="68"/>
      <c r="I303" s="41"/>
      <c r="J303"/>
    </row>
    <row r="304" spans="1:10" s="58" customFormat="1">
      <c r="A304" s="34"/>
      <c r="B304" s="2"/>
      <c r="D304"/>
      <c r="E304"/>
      <c r="F304"/>
      <c r="G304" s="41"/>
      <c r="H304" s="68"/>
      <c r="I304" s="41"/>
      <c r="J304"/>
    </row>
    <row r="305" spans="1:10" s="58" customFormat="1">
      <c r="A305" s="34"/>
      <c r="B305" s="2"/>
      <c r="D305"/>
      <c r="E305"/>
      <c r="F305"/>
      <c r="G305" s="41"/>
      <c r="H305" s="68"/>
      <c r="I305" s="41"/>
      <c r="J305"/>
    </row>
    <row r="306" spans="1:10" s="58" customFormat="1">
      <c r="A306" s="34"/>
      <c r="B306" s="2"/>
      <c r="D306"/>
      <c r="E306"/>
      <c r="F306"/>
      <c r="G306" s="41"/>
      <c r="H306" s="68"/>
      <c r="I306" s="41"/>
      <c r="J306"/>
    </row>
    <row r="307" spans="1:10" s="58" customFormat="1">
      <c r="A307" s="34"/>
      <c r="B307" s="2"/>
      <c r="D307"/>
      <c r="E307"/>
      <c r="F307"/>
      <c r="G307" s="41"/>
      <c r="H307" s="68"/>
      <c r="I307" s="41"/>
      <c r="J307"/>
    </row>
    <row r="308" spans="1:10" s="58" customFormat="1">
      <c r="A308" s="34"/>
      <c r="B308" s="2"/>
      <c r="D308"/>
      <c r="E308"/>
      <c r="F308"/>
      <c r="G308" s="41"/>
      <c r="H308" s="68"/>
      <c r="I308" s="41"/>
      <c r="J308"/>
    </row>
    <row r="309" spans="1:10" s="58" customFormat="1">
      <c r="A309" s="34"/>
      <c r="B309" s="2"/>
      <c r="D309"/>
      <c r="E309"/>
      <c r="F309"/>
      <c r="G309" s="41"/>
      <c r="H309" s="68"/>
      <c r="I309" s="41"/>
      <c r="J309"/>
    </row>
    <row r="310" spans="1:10" s="58" customFormat="1">
      <c r="A310" s="34"/>
      <c r="B310" s="2"/>
      <c r="D310"/>
      <c r="E310"/>
      <c r="F310"/>
      <c r="G310" s="41"/>
      <c r="H310" s="68"/>
      <c r="I310" s="41"/>
      <c r="J310"/>
    </row>
    <row r="311" spans="1:10" s="58" customFormat="1">
      <c r="A311" s="34"/>
      <c r="B311" s="2"/>
      <c r="D311"/>
      <c r="E311"/>
      <c r="F311"/>
      <c r="G311" s="41"/>
      <c r="H311" s="68"/>
      <c r="I311" s="41"/>
      <c r="J311"/>
    </row>
    <row r="312" spans="1:10" s="58" customFormat="1">
      <c r="A312" s="34"/>
      <c r="B312" s="2"/>
      <c r="D312"/>
      <c r="E312"/>
      <c r="F312"/>
      <c r="G312" s="41"/>
      <c r="H312" s="68"/>
      <c r="I312" s="41"/>
      <c r="J312"/>
    </row>
    <row r="313" spans="1:10" s="58" customFormat="1">
      <c r="A313" s="34"/>
      <c r="B313" s="2"/>
      <c r="D313"/>
      <c r="E313"/>
      <c r="F313"/>
      <c r="G313" s="41"/>
      <c r="H313" s="68"/>
      <c r="I313" s="41"/>
      <c r="J313"/>
    </row>
    <row r="314" spans="1:10" s="58" customFormat="1">
      <c r="A314" s="34"/>
      <c r="B314" s="2"/>
      <c r="D314"/>
      <c r="E314"/>
      <c r="F314"/>
      <c r="G314" s="41"/>
      <c r="H314" s="68"/>
      <c r="I314" s="41"/>
      <c r="J314"/>
    </row>
    <row r="315" spans="1:10" s="58" customFormat="1">
      <c r="A315" s="34"/>
      <c r="B315" s="2"/>
      <c r="D315"/>
      <c r="E315"/>
      <c r="F315"/>
      <c r="G315" s="41"/>
      <c r="H315" s="68"/>
      <c r="I315" s="41"/>
      <c r="J315"/>
    </row>
    <row r="316" spans="1:10" s="58" customFormat="1">
      <c r="A316" s="34"/>
      <c r="B316" s="2"/>
      <c r="D316"/>
      <c r="E316"/>
      <c r="F316"/>
      <c r="G316" s="41"/>
      <c r="H316" s="68"/>
      <c r="I316" s="41"/>
      <c r="J316"/>
    </row>
    <row r="317" spans="1:10" s="58" customFormat="1">
      <c r="A317" s="34"/>
      <c r="B317" s="2"/>
      <c r="D317"/>
      <c r="E317"/>
      <c r="F317"/>
      <c r="G317" s="41"/>
      <c r="H317" s="68"/>
      <c r="I317" s="41"/>
      <c r="J317"/>
    </row>
    <row r="318" spans="1:10" s="58" customFormat="1">
      <c r="A318" s="34"/>
      <c r="B318" s="2"/>
      <c r="D318"/>
      <c r="E318"/>
      <c r="F318"/>
      <c r="G318" s="41"/>
      <c r="H318" s="68"/>
      <c r="I318" s="41"/>
      <c r="J318"/>
    </row>
    <row r="319" spans="1:10" s="58" customFormat="1">
      <c r="A319" s="34"/>
      <c r="B319" s="2"/>
      <c r="D319"/>
      <c r="E319"/>
      <c r="F319"/>
      <c r="G319" s="41"/>
      <c r="H319" s="68"/>
      <c r="I319" s="41"/>
      <c r="J319"/>
    </row>
    <row r="320" spans="1:10" s="58" customFormat="1">
      <c r="A320" s="34"/>
      <c r="B320" s="2"/>
      <c r="D320"/>
      <c r="E320"/>
      <c r="F320"/>
      <c r="G320" s="41"/>
      <c r="H320" s="68"/>
      <c r="I320" s="41"/>
      <c r="J320"/>
    </row>
    <row r="321" spans="1:10" s="58" customFormat="1">
      <c r="A321" s="34"/>
      <c r="B321" s="2"/>
      <c r="D321"/>
      <c r="E321"/>
      <c r="F321"/>
      <c r="G321" s="41"/>
      <c r="H321" s="68"/>
      <c r="I321" s="41"/>
      <c r="J321"/>
    </row>
    <row r="322" spans="1:10" s="58" customFormat="1">
      <c r="A322" s="34"/>
      <c r="B322" s="2"/>
      <c r="D322"/>
      <c r="E322"/>
      <c r="F322"/>
      <c r="G322" s="41"/>
      <c r="H322" s="68"/>
      <c r="I322" s="41"/>
      <c r="J322"/>
    </row>
    <row r="323" spans="1:10" s="58" customFormat="1">
      <c r="A323" s="34"/>
      <c r="B323" s="2"/>
      <c r="D323"/>
      <c r="E323"/>
      <c r="F323"/>
      <c r="G323" s="41"/>
      <c r="H323" s="68"/>
      <c r="I323" s="41"/>
      <c r="J323"/>
    </row>
    <row r="324" spans="1:10" s="58" customFormat="1">
      <c r="A324" s="34"/>
      <c r="B324" s="2"/>
      <c r="D324"/>
      <c r="E324"/>
      <c r="F324"/>
      <c r="G324" s="41"/>
      <c r="H324" s="68"/>
      <c r="I324" s="41"/>
      <c r="J324"/>
    </row>
    <row r="325" spans="1:10" s="58" customFormat="1">
      <c r="A325" s="34"/>
      <c r="B325" s="2"/>
      <c r="D325"/>
      <c r="E325"/>
      <c r="F325"/>
      <c r="G325" s="41"/>
      <c r="H325" s="68"/>
      <c r="I325" s="41"/>
      <c r="J325"/>
    </row>
    <row r="326" spans="1:10" s="58" customFormat="1">
      <c r="A326" s="34"/>
      <c r="B326" s="2"/>
      <c r="D326"/>
      <c r="E326"/>
      <c r="F326"/>
      <c r="G326" s="41"/>
      <c r="H326" s="68"/>
      <c r="I326" s="41"/>
      <c r="J326"/>
    </row>
    <row r="327" spans="1:10" s="58" customFormat="1">
      <c r="A327" s="34"/>
      <c r="B327" s="2"/>
      <c r="D327"/>
      <c r="E327"/>
      <c r="F327"/>
      <c r="G327" s="41"/>
      <c r="H327" s="68"/>
      <c r="I327" s="41"/>
      <c r="J327"/>
    </row>
    <row r="328" spans="1:10" s="58" customFormat="1">
      <c r="A328" s="34"/>
      <c r="B328" s="2"/>
      <c r="D328"/>
      <c r="E328"/>
      <c r="F328"/>
      <c r="G328" s="41"/>
      <c r="H328" s="68"/>
      <c r="I328" s="41"/>
      <c r="J328"/>
    </row>
    <row r="329" spans="1:10" s="58" customFormat="1">
      <c r="A329" s="34"/>
      <c r="B329" s="2"/>
      <c r="D329"/>
      <c r="E329"/>
      <c r="F329"/>
      <c r="G329" s="41"/>
      <c r="H329" s="68"/>
      <c r="I329" s="41"/>
      <c r="J329"/>
    </row>
    <row r="330" spans="1:10" s="58" customFormat="1">
      <c r="A330" s="34"/>
      <c r="B330" s="2"/>
      <c r="D330"/>
      <c r="E330"/>
      <c r="F330"/>
      <c r="G330" s="41"/>
      <c r="H330" s="68"/>
      <c r="I330" s="41"/>
      <c r="J330"/>
    </row>
    <row r="331" spans="1:10" s="58" customFormat="1">
      <c r="A331" s="34"/>
      <c r="B331" s="2"/>
      <c r="D331"/>
      <c r="E331"/>
      <c r="F331"/>
      <c r="G331" s="41"/>
      <c r="H331" s="68"/>
      <c r="I331" s="41"/>
      <c r="J331"/>
    </row>
    <row r="332" spans="1:10" s="58" customFormat="1">
      <c r="A332" s="34"/>
      <c r="B332" s="2"/>
      <c r="D332"/>
      <c r="E332"/>
      <c r="F332"/>
      <c r="G332" s="41"/>
      <c r="H332" s="68"/>
      <c r="I332" s="41"/>
      <c r="J332"/>
    </row>
    <row r="333" spans="1:10" s="58" customFormat="1">
      <c r="A333" s="34"/>
      <c r="B333" s="2"/>
      <c r="D333"/>
      <c r="E333"/>
      <c r="F333"/>
      <c r="G333" s="41"/>
      <c r="H333" s="68"/>
      <c r="I333" s="41"/>
      <c r="J333"/>
    </row>
    <row r="334" spans="1:10" s="58" customFormat="1">
      <c r="A334" s="34"/>
      <c r="B334" s="2"/>
      <c r="D334"/>
      <c r="E334"/>
      <c r="F334"/>
      <c r="G334" s="41"/>
      <c r="H334" s="68"/>
      <c r="I334" s="41"/>
      <c r="J334"/>
    </row>
    <row r="335" spans="1:10" s="58" customFormat="1">
      <c r="A335" s="34"/>
      <c r="B335" s="2"/>
      <c r="D335"/>
      <c r="E335"/>
      <c r="F335"/>
      <c r="G335" s="41"/>
      <c r="H335" s="68"/>
      <c r="I335" s="41"/>
      <c r="J335"/>
    </row>
    <row r="336" spans="1:10" s="58" customFormat="1">
      <c r="A336" s="34"/>
      <c r="B336" s="2"/>
      <c r="D336"/>
      <c r="E336"/>
      <c r="F336"/>
      <c r="G336" s="41"/>
      <c r="H336" s="68"/>
      <c r="I336" s="41"/>
      <c r="J336"/>
    </row>
    <row r="337" spans="1:10" s="58" customFormat="1">
      <c r="A337" s="34"/>
      <c r="B337" s="2"/>
      <c r="D337"/>
      <c r="E337"/>
      <c r="F337"/>
      <c r="G337" s="41"/>
      <c r="H337" s="68"/>
      <c r="I337" s="41"/>
      <c r="J337"/>
    </row>
    <row r="338" spans="1:10" s="58" customFormat="1">
      <c r="A338" s="34"/>
      <c r="B338" s="2"/>
      <c r="D338"/>
      <c r="E338"/>
      <c r="F338"/>
      <c r="G338" s="41"/>
      <c r="H338" s="68"/>
      <c r="I338" s="41"/>
      <c r="J338"/>
    </row>
    <row r="339" spans="1:10" s="58" customFormat="1">
      <c r="A339" s="34"/>
      <c r="B339" s="2"/>
      <c r="D339"/>
      <c r="E339"/>
      <c r="F339"/>
      <c r="G339" s="41"/>
      <c r="H339" s="68"/>
      <c r="I339" s="41"/>
      <c r="J339"/>
    </row>
    <row r="340" spans="1:10" s="58" customFormat="1">
      <c r="A340" s="34"/>
      <c r="B340" s="2"/>
      <c r="D340"/>
      <c r="E340"/>
      <c r="F340"/>
      <c r="G340" s="41"/>
      <c r="H340" s="68"/>
      <c r="I340" s="41"/>
      <c r="J340"/>
    </row>
    <row r="341" spans="1:10" s="58" customFormat="1">
      <c r="A341" s="34"/>
      <c r="B341" s="2"/>
      <c r="D341"/>
      <c r="E341"/>
      <c r="F341"/>
      <c r="G341" s="41"/>
      <c r="H341" s="68"/>
      <c r="I341" s="41"/>
      <c r="J341"/>
    </row>
    <row r="342" spans="1:10" s="58" customFormat="1">
      <c r="A342" s="34"/>
      <c r="B342" s="2"/>
      <c r="D342"/>
      <c r="E342"/>
      <c r="F342"/>
      <c r="G342" s="41"/>
      <c r="H342" s="68"/>
      <c r="I342" s="41"/>
      <c r="J342"/>
    </row>
    <row r="343" spans="1:10" s="58" customFormat="1">
      <c r="A343" s="34"/>
      <c r="B343" s="2"/>
      <c r="D343"/>
      <c r="E343"/>
      <c r="F343"/>
      <c r="G343" s="41"/>
      <c r="H343" s="68"/>
      <c r="I343" s="41"/>
      <c r="J343"/>
    </row>
    <row r="344" spans="1:10" s="58" customFormat="1">
      <c r="A344" s="34"/>
      <c r="B344" s="2"/>
      <c r="D344"/>
      <c r="E344"/>
      <c r="F344"/>
      <c r="G344" s="41"/>
      <c r="H344" s="68"/>
      <c r="I344" s="41"/>
      <c r="J344"/>
    </row>
    <row r="345" spans="1:10" s="58" customFormat="1">
      <c r="A345" s="34"/>
      <c r="B345" s="2"/>
      <c r="D345"/>
      <c r="E345"/>
      <c r="F345"/>
      <c r="G345" s="41"/>
      <c r="H345" s="68"/>
      <c r="I345" s="41"/>
      <c r="J345"/>
    </row>
    <row r="346" spans="1:10" s="58" customFormat="1">
      <c r="A346" s="34"/>
      <c r="B346" s="2"/>
      <c r="D346"/>
      <c r="E346"/>
      <c r="F346"/>
      <c r="G346" s="41"/>
      <c r="H346" s="68"/>
      <c r="I346" s="41"/>
      <c r="J346"/>
    </row>
    <row r="347" spans="1:10" s="58" customFormat="1">
      <c r="A347" s="34"/>
      <c r="B347" s="2"/>
      <c r="D347"/>
      <c r="E347"/>
      <c r="F347"/>
      <c r="G347" s="41"/>
      <c r="H347" s="68"/>
      <c r="I347" s="41"/>
      <c r="J347"/>
    </row>
    <row r="348" spans="1:10" s="58" customFormat="1">
      <c r="A348" s="34"/>
      <c r="B348" s="2"/>
      <c r="D348"/>
      <c r="E348"/>
      <c r="F348"/>
      <c r="G348" s="41"/>
      <c r="H348" s="68"/>
      <c r="I348" s="41"/>
      <c r="J348"/>
    </row>
    <row r="349" spans="1:10" s="58" customFormat="1">
      <c r="A349" s="34"/>
      <c r="B349" s="2"/>
      <c r="D349"/>
      <c r="E349"/>
      <c r="F349"/>
      <c r="G349" s="41"/>
      <c r="H349" s="68"/>
      <c r="I349" s="41"/>
      <c r="J349"/>
    </row>
    <row r="350" spans="1:10" s="58" customFormat="1">
      <c r="A350" s="34"/>
      <c r="B350" s="2"/>
      <c r="D350"/>
      <c r="E350"/>
      <c r="F350"/>
      <c r="G350" s="41"/>
      <c r="H350" s="68"/>
      <c r="I350" s="41"/>
      <c r="J350"/>
    </row>
    <row r="351" spans="1:10" s="58" customFormat="1">
      <c r="A351" s="34"/>
      <c r="B351" s="2"/>
      <c r="D351"/>
      <c r="E351"/>
      <c r="F351"/>
      <c r="G351" s="41"/>
      <c r="H351" s="68"/>
      <c r="I351" s="41"/>
      <c r="J351"/>
    </row>
    <row r="352" spans="1:10" s="58" customFormat="1">
      <c r="A352" s="34"/>
      <c r="B352" s="2"/>
      <c r="D352"/>
      <c r="E352"/>
      <c r="F352"/>
      <c r="G352" s="41"/>
      <c r="H352" s="68"/>
      <c r="I352" s="41"/>
      <c r="J352"/>
    </row>
    <row r="353" spans="1:10" s="58" customFormat="1">
      <c r="A353" s="34"/>
      <c r="B353" s="2"/>
      <c r="D353"/>
      <c r="E353"/>
      <c r="F353"/>
      <c r="G353" s="41"/>
      <c r="H353" s="68"/>
      <c r="I353" s="41"/>
      <c r="J353"/>
    </row>
    <row r="354" spans="1:10" s="58" customFormat="1">
      <c r="A354" s="34"/>
      <c r="B354" s="2"/>
      <c r="D354"/>
      <c r="E354"/>
      <c r="F354"/>
      <c r="G354" s="41"/>
      <c r="H354" s="68"/>
      <c r="I354" s="41"/>
      <c r="J354"/>
    </row>
    <row r="355" spans="1:10" s="58" customFormat="1">
      <c r="A355" s="34"/>
      <c r="B355" s="2"/>
      <c r="D355"/>
      <c r="E355"/>
      <c r="F355"/>
      <c r="G355" s="41"/>
      <c r="H355" s="68"/>
      <c r="I355" s="41"/>
      <c r="J355"/>
    </row>
    <row r="356" spans="1:10" s="58" customFormat="1">
      <c r="A356" s="34"/>
      <c r="B356" s="2"/>
      <c r="D356"/>
      <c r="E356"/>
      <c r="F356"/>
      <c r="G356" s="41"/>
      <c r="H356" s="68"/>
      <c r="I356" s="41"/>
      <c r="J356"/>
    </row>
    <row r="357" spans="1:10" s="58" customFormat="1">
      <c r="A357" s="34"/>
      <c r="B357" s="2"/>
      <c r="D357"/>
      <c r="E357"/>
      <c r="F357"/>
      <c r="G357" s="41"/>
      <c r="H357" s="68"/>
      <c r="I357" s="41"/>
      <c r="J357"/>
    </row>
    <row r="358" spans="1:10" s="58" customFormat="1">
      <c r="A358" s="34"/>
      <c r="B358" s="2"/>
      <c r="D358"/>
      <c r="E358"/>
      <c r="F358"/>
      <c r="G358" s="41"/>
      <c r="H358" s="68"/>
      <c r="I358" s="41"/>
      <c r="J358"/>
    </row>
    <row r="359" spans="1:10" s="58" customFormat="1">
      <c r="A359" s="34"/>
      <c r="B359" s="2"/>
      <c r="D359"/>
      <c r="E359"/>
      <c r="F359"/>
      <c r="G359" s="41"/>
      <c r="H359" s="68"/>
      <c r="I359" s="41"/>
      <c r="J359"/>
    </row>
    <row r="360" spans="1:10" s="58" customFormat="1">
      <c r="A360" s="34"/>
      <c r="B360" s="2"/>
      <c r="D360"/>
      <c r="E360"/>
      <c r="F360"/>
      <c r="G360" s="41"/>
      <c r="H360" s="68"/>
      <c r="I360" s="41"/>
      <c r="J360"/>
    </row>
    <row r="361" spans="1:10" s="58" customFormat="1">
      <c r="A361" s="34"/>
      <c r="B361" s="2"/>
      <c r="D361"/>
      <c r="E361"/>
      <c r="F361"/>
      <c r="G361" s="41"/>
      <c r="H361" s="68"/>
      <c r="I361" s="41"/>
      <c r="J361"/>
    </row>
    <row r="362" spans="1:10" s="58" customFormat="1">
      <c r="A362" s="34"/>
      <c r="B362" s="2"/>
      <c r="D362"/>
      <c r="E362"/>
      <c r="F362"/>
      <c r="G362" s="41"/>
      <c r="H362" s="68"/>
      <c r="I362" s="41"/>
      <c r="J362"/>
    </row>
    <row r="363" spans="1:10" s="58" customFormat="1">
      <c r="A363" s="34"/>
      <c r="B363" s="2"/>
      <c r="D363"/>
      <c r="E363"/>
      <c r="F363"/>
      <c r="G363" s="41"/>
      <c r="H363" s="68"/>
      <c r="I363" s="41"/>
      <c r="J363"/>
    </row>
    <row r="364" spans="1:10" s="58" customFormat="1">
      <c r="A364" s="34"/>
      <c r="B364" s="2"/>
      <c r="D364"/>
      <c r="E364"/>
      <c r="F364"/>
      <c r="G364" s="41"/>
      <c r="H364" s="68"/>
      <c r="I364" s="41"/>
      <c r="J364"/>
    </row>
    <row r="365" spans="1:10" s="58" customFormat="1">
      <c r="A365" s="34"/>
      <c r="B365" s="2"/>
      <c r="D365"/>
      <c r="E365"/>
      <c r="F365"/>
      <c r="G365" s="41"/>
      <c r="H365" s="68"/>
      <c r="I365" s="41"/>
      <c r="J365"/>
    </row>
    <row r="366" spans="1:10" s="58" customFormat="1">
      <c r="A366" s="34"/>
      <c r="B366" s="2"/>
      <c r="D366"/>
      <c r="E366"/>
      <c r="F366"/>
      <c r="G366" s="41"/>
      <c r="H366" s="68"/>
      <c r="I366" s="41"/>
      <c r="J366"/>
    </row>
    <row r="367" spans="1:10" s="58" customFormat="1">
      <c r="A367" s="34"/>
      <c r="B367" s="2"/>
      <c r="D367"/>
      <c r="E367"/>
      <c r="F367"/>
      <c r="G367" s="41"/>
      <c r="H367" s="68"/>
      <c r="I367" s="41"/>
      <c r="J367"/>
    </row>
    <row r="368" spans="1:10" s="58" customFormat="1">
      <c r="A368" s="34"/>
      <c r="B368" s="2"/>
      <c r="D368"/>
      <c r="E368"/>
      <c r="F368"/>
      <c r="G368" s="41"/>
      <c r="H368" s="68"/>
      <c r="I368" s="41"/>
      <c r="J368"/>
    </row>
    <row r="369" spans="1:10" s="58" customFormat="1">
      <c r="A369" s="34"/>
      <c r="B369" s="2"/>
      <c r="D369"/>
      <c r="E369"/>
      <c r="F369"/>
      <c r="G369" s="41"/>
      <c r="H369" s="68"/>
      <c r="I369" s="41"/>
      <c r="J369"/>
    </row>
    <row r="370" spans="1:10" s="58" customFormat="1">
      <c r="A370" s="34"/>
      <c r="B370" s="2"/>
      <c r="D370"/>
      <c r="E370"/>
      <c r="F370"/>
      <c r="G370" s="41"/>
      <c r="H370" s="68"/>
      <c r="I370" s="41"/>
      <c r="J370"/>
    </row>
    <row r="371" spans="1:10" s="58" customFormat="1">
      <c r="A371" s="34"/>
      <c r="B371" s="2"/>
      <c r="D371"/>
      <c r="E371"/>
      <c r="F371"/>
      <c r="G371" s="41"/>
      <c r="H371" s="68"/>
      <c r="I371" s="41"/>
      <c r="J371"/>
    </row>
    <row r="372" spans="1:10" s="58" customFormat="1">
      <c r="A372" s="34"/>
      <c r="B372" s="2"/>
      <c r="D372"/>
      <c r="E372"/>
      <c r="F372"/>
      <c r="G372" s="41"/>
      <c r="H372" s="68"/>
      <c r="I372" s="41"/>
      <c r="J372"/>
    </row>
    <row r="373" spans="1:10" s="58" customFormat="1">
      <c r="A373" s="34"/>
      <c r="B373" s="2"/>
      <c r="D373"/>
      <c r="E373"/>
      <c r="F373"/>
      <c r="G373" s="41"/>
      <c r="H373" s="68"/>
      <c r="I373" s="41"/>
      <c r="J373"/>
    </row>
    <row r="374" spans="1:10" s="58" customFormat="1">
      <c r="A374" s="34"/>
      <c r="B374" s="2"/>
      <c r="D374"/>
      <c r="E374"/>
      <c r="F374"/>
      <c r="G374" s="41"/>
      <c r="H374" s="68"/>
      <c r="I374" s="41"/>
      <c r="J374"/>
    </row>
    <row r="375" spans="1:10" s="58" customFormat="1">
      <c r="A375" s="34"/>
      <c r="B375" s="2"/>
      <c r="D375"/>
      <c r="E375"/>
      <c r="F375"/>
      <c r="G375" s="41"/>
      <c r="H375" s="68"/>
      <c r="I375" s="41"/>
      <c r="J375"/>
    </row>
    <row r="376" spans="1:10" s="58" customFormat="1">
      <c r="A376" s="34"/>
      <c r="B376" s="2"/>
      <c r="D376"/>
      <c r="E376"/>
      <c r="F376"/>
      <c r="G376" s="41"/>
      <c r="H376" s="68"/>
      <c r="I376" s="41"/>
      <c r="J376"/>
    </row>
    <row r="377" spans="1:10" s="58" customFormat="1">
      <c r="A377" s="34"/>
      <c r="B377" s="2"/>
      <c r="D377"/>
      <c r="E377"/>
      <c r="F377"/>
      <c r="G377" s="41"/>
      <c r="H377" s="68"/>
      <c r="I377" s="41"/>
      <c r="J377"/>
    </row>
    <row r="378" spans="1:10" s="58" customFormat="1">
      <c r="A378" s="34"/>
      <c r="B378" s="2"/>
      <c r="D378"/>
      <c r="E378"/>
      <c r="F378"/>
      <c r="G378" s="41"/>
      <c r="H378" s="68"/>
      <c r="I378" s="41"/>
      <c r="J378"/>
    </row>
    <row r="379" spans="1:10" s="58" customFormat="1">
      <c r="A379" s="34"/>
      <c r="B379" s="2"/>
      <c r="D379"/>
      <c r="E379"/>
      <c r="F379"/>
      <c r="G379" s="41"/>
      <c r="H379" s="68"/>
      <c r="I379" s="41"/>
      <c r="J379"/>
    </row>
    <row r="380" spans="1:10" s="58" customFormat="1">
      <c r="A380" s="34"/>
      <c r="B380" s="2"/>
      <c r="D380"/>
      <c r="E380"/>
      <c r="F380"/>
      <c r="G380" s="41"/>
      <c r="H380" s="68"/>
      <c r="I380" s="41"/>
      <c r="J380"/>
    </row>
    <row r="381" spans="1:10" s="58" customFormat="1">
      <c r="A381" s="34"/>
      <c r="B381" s="2"/>
      <c r="D381"/>
      <c r="E381"/>
      <c r="F381"/>
      <c r="G381" s="41"/>
      <c r="H381" s="68"/>
      <c r="I381" s="41"/>
      <c r="J381"/>
    </row>
    <row r="382" spans="1:10" s="58" customFormat="1">
      <c r="A382" s="34"/>
      <c r="B382" s="2"/>
      <c r="D382"/>
      <c r="E382"/>
      <c r="F382"/>
      <c r="G382" s="41"/>
      <c r="H382" s="68"/>
      <c r="I382" s="41"/>
      <c r="J382"/>
    </row>
    <row r="383" spans="1:10" s="58" customFormat="1">
      <c r="A383" s="34"/>
      <c r="B383" s="2"/>
      <c r="D383"/>
      <c r="E383"/>
      <c r="F383"/>
      <c r="G383" s="41"/>
      <c r="H383" s="68"/>
      <c r="I383" s="41"/>
      <c r="J383"/>
    </row>
    <row r="384" spans="1:10" s="58" customFormat="1">
      <c r="A384" s="34"/>
      <c r="B384" s="2"/>
      <c r="D384"/>
      <c r="E384"/>
      <c r="F384"/>
      <c r="G384" s="41"/>
      <c r="H384" s="68"/>
      <c r="I384" s="41"/>
      <c r="J384"/>
    </row>
    <row r="385" spans="1:10" s="58" customFormat="1">
      <c r="A385" s="34"/>
      <c r="B385" s="2"/>
      <c r="D385"/>
      <c r="E385"/>
      <c r="F385"/>
      <c r="G385" s="41"/>
      <c r="H385" s="68"/>
      <c r="I385" s="41"/>
      <c r="J385"/>
    </row>
    <row r="386" spans="1:10" s="58" customFormat="1">
      <c r="A386" s="34"/>
      <c r="B386" s="2"/>
      <c r="D386"/>
      <c r="E386"/>
      <c r="F386"/>
      <c r="G386" s="41"/>
      <c r="H386" s="68"/>
      <c r="I386" s="41"/>
      <c r="J386"/>
    </row>
    <row r="387" spans="1:10" s="58" customFormat="1">
      <c r="A387" s="34"/>
      <c r="B387" s="2"/>
      <c r="D387"/>
      <c r="E387"/>
      <c r="F387"/>
      <c r="G387" s="41"/>
      <c r="H387" s="68"/>
      <c r="I387" s="41"/>
      <c r="J387"/>
    </row>
    <row r="388" spans="1:10" s="58" customFormat="1">
      <c r="A388" s="34"/>
      <c r="B388" s="2"/>
      <c r="D388"/>
      <c r="E388"/>
      <c r="F388"/>
      <c r="G388" s="41"/>
      <c r="H388" s="68"/>
      <c r="I388" s="41"/>
      <c r="J388"/>
    </row>
    <row r="389" spans="1:10" s="58" customFormat="1">
      <c r="A389" s="34"/>
      <c r="B389" s="2"/>
      <c r="D389"/>
      <c r="E389"/>
      <c r="F389"/>
      <c r="G389" s="41"/>
      <c r="H389" s="68"/>
      <c r="I389" s="41"/>
      <c r="J389"/>
    </row>
    <row r="390" spans="1:10" s="58" customFormat="1">
      <c r="A390" s="34"/>
      <c r="B390" s="2"/>
      <c r="D390"/>
      <c r="E390"/>
      <c r="F390"/>
      <c r="G390" s="41"/>
      <c r="H390" s="68"/>
      <c r="I390" s="41"/>
      <c r="J390"/>
    </row>
    <row r="391" spans="1:10" s="58" customFormat="1">
      <c r="A391" s="34"/>
      <c r="B391" s="2"/>
      <c r="D391"/>
      <c r="E391"/>
      <c r="F391"/>
      <c r="G391" s="41"/>
      <c r="H391" s="68"/>
      <c r="I391" s="41"/>
      <c r="J391"/>
    </row>
    <row r="392" spans="1:10" s="58" customFormat="1">
      <c r="A392" s="34"/>
      <c r="B392" s="2"/>
      <c r="D392"/>
      <c r="E392"/>
      <c r="F392"/>
      <c r="G392" s="41"/>
      <c r="H392" s="68"/>
      <c r="I392" s="41"/>
      <c r="J392"/>
    </row>
    <row r="393" spans="1:10" s="58" customFormat="1">
      <c r="A393" s="34"/>
      <c r="B393" s="2"/>
      <c r="D393"/>
      <c r="E393"/>
      <c r="F393"/>
      <c r="G393" s="41"/>
      <c r="H393" s="68"/>
      <c r="I393" s="41"/>
      <c r="J393"/>
    </row>
    <row r="394" spans="1:10" s="58" customFormat="1">
      <c r="A394" s="34"/>
      <c r="B394" s="2"/>
      <c r="D394"/>
      <c r="E394"/>
      <c r="F394"/>
      <c r="G394" s="41"/>
      <c r="H394" s="68"/>
      <c r="I394" s="41"/>
      <c r="J394"/>
    </row>
    <row r="395" spans="1:10" s="58" customFormat="1">
      <c r="A395" s="34"/>
      <c r="B395" s="2"/>
      <c r="D395"/>
      <c r="E395"/>
      <c r="F395"/>
      <c r="G395" s="41"/>
      <c r="H395" s="68"/>
      <c r="I395" s="41"/>
      <c r="J395"/>
    </row>
    <row r="396" spans="1:10" s="58" customFormat="1">
      <c r="A396" s="34"/>
      <c r="B396" s="2"/>
      <c r="D396"/>
      <c r="E396"/>
      <c r="F396"/>
      <c r="G396" s="41"/>
      <c r="H396" s="68"/>
      <c r="I396" s="41"/>
      <c r="J396"/>
    </row>
    <row r="397" spans="1:10" s="58" customFormat="1">
      <c r="A397" s="34"/>
      <c r="B397" s="2"/>
      <c r="D397"/>
      <c r="E397"/>
      <c r="F397"/>
      <c r="G397" s="41"/>
      <c r="H397" s="68"/>
      <c r="I397" s="41"/>
      <c r="J397"/>
    </row>
    <row r="398" spans="1:10" s="58" customFormat="1">
      <c r="A398" s="34"/>
      <c r="B398" s="2"/>
      <c r="D398"/>
      <c r="E398"/>
      <c r="F398"/>
      <c r="G398" s="41"/>
      <c r="H398" s="68"/>
      <c r="I398" s="41"/>
      <c r="J398"/>
    </row>
    <row r="399" spans="1:10" s="58" customFormat="1">
      <c r="A399" s="34"/>
      <c r="B399" s="2"/>
      <c r="D399"/>
      <c r="E399"/>
      <c r="F399"/>
      <c r="G399" s="41"/>
      <c r="H399" s="68"/>
      <c r="I399" s="41"/>
      <c r="J399"/>
    </row>
    <row r="400" spans="1:10" s="58" customFormat="1">
      <c r="A400" s="34"/>
      <c r="B400" s="2"/>
      <c r="D400"/>
      <c r="E400"/>
      <c r="F400"/>
      <c r="G400" s="41"/>
      <c r="H400" s="68"/>
      <c r="I400" s="41"/>
      <c r="J400"/>
    </row>
    <row r="401" spans="1:10" s="58" customFormat="1">
      <c r="A401" s="34"/>
      <c r="B401" s="2"/>
      <c r="D401"/>
      <c r="E401"/>
      <c r="F401"/>
      <c r="G401" s="41"/>
      <c r="H401" s="68"/>
      <c r="I401" s="41"/>
      <c r="J401"/>
    </row>
    <row r="402" spans="1:10" s="58" customFormat="1">
      <c r="A402" s="34"/>
      <c r="B402" s="2"/>
      <c r="D402"/>
      <c r="E402"/>
      <c r="F402"/>
      <c r="G402" s="41"/>
      <c r="H402" s="68"/>
      <c r="I402" s="41"/>
      <c r="J402"/>
    </row>
    <row r="403" spans="1:10" s="58" customFormat="1">
      <c r="A403" s="34"/>
      <c r="B403" s="2"/>
      <c r="D403"/>
      <c r="E403"/>
      <c r="F403"/>
      <c r="G403" s="41"/>
      <c r="H403" s="68"/>
      <c r="I403" s="41"/>
      <c r="J403"/>
    </row>
    <row r="404" spans="1:10" s="58" customFormat="1">
      <c r="A404" s="34"/>
      <c r="B404" s="2"/>
      <c r="D404"/>
      <c r="E404"/>
      <c r="F404"/>
      <c r="G404" s="41"/>
      <c r="H404" s="68"/>
      <c r="I404" s="41"/>
      <c r="J404"/>
    </row>
    <row r="405" spans="1:10" s="58" customFormat="1">
      <c r="A405" s="34"/>
      <c r="B405" s="2"/>
      <c r="D405"/>
      <c r="E405"/>
      <c r="F405"/>
      <c r="G405" s="41"/>
      <c r="H405" s="68"/>
      <c r="I405" s="41"/>
      <c r="J405"/>
    </row>
    <row r="406" spans="1:10" s="58" customFormat="1">
      <c r="A406" s="34"/>
      <c r="B406" s="2"/>
      <c r="D406"/>
      <c r="E406"/>
      <c r="F406"/>
      <c r="G406" s="41"/>
      <c r="H406" s="68"/>
      <c r="I406" s="41"/>
      <c r="J406"/>
    </row>
    <row r="407" spans="1:10" s="58" customFormat="1">
      <c r="A407" s="34"/>
      <c r="B407" s="2"/>
      <c r="D407"/>
      <c r="E407"/>
      <c r="F407"/>
      <c r="G407" s="41"/>
      <c r="H407" s="68"/>
      <c r="I407" s="41"/>
      <c r="J407"/>
    </row>
    <row r="408" spans="1:10" s="58" customFormat="1">
      <c r="A408" s="34"/>
      <c r="B408" s="2"/>
      <c r="D408"/>
      <c r="E408"/>
      <c r="F408"/>
      <c r="G408" s="41"/>
      <c r="H408" s="68"/>
      <c r="I408" s="41"/>
      <c r="J408"/>
    </row>
    <row r="409" spans="1:10" s="58" customFormat="1">
      <c r="A409" s="34"/>
      <c r="B409" s="2"/>
      <c r="D409"/>
      <c r="E409"/>
      <c r="F409"/>
      <c r="G409" s="41"/>
      <c r="H409" s="68"/>
      <c r="I409" s="41"/>
      <c r="J409"/>
    </row>
    <row r="410" spans="1:10" s="58" customFormat="1">
      <c r="A410" s="34"/>
      <c r="B410" s="2"/>
      <c r="D410"/>
      <c r="E410"/>
      <c r="F410"/>
      <c r="G410" s="41"/>
      <c r="H410" s="68"/>
      <c r="I410" s="41"/>
      <c r="J410"/>
    </row>
    <row r="411" spans="1:10" s="58" customFormat="1">
      <c r="A411" s="34"/>
      <c r="B411" s="2"/>
      <c r="D411"/>
      <c r="E411"/>
      <c r="F411"/>
      <c r="G411" s="41"/>
      <c r="H411" s="68"/>
      <c r="I411" s="41"/>
      <c r="J411"/>
    </row>
    <row r="412" spans="1:10" s="58" customFormat="1">
      <c r="A412" s="34"/>
      <c r="B412" s="2"/>
      <c r="D412"/>
      <c r="E412"/>
      <c r="F412"/>
      <c r="G412" s="41"/>
      <c r="H412" s="68"/>
      <c r="I412" s="41"/>
      <c r="J412"/>
    </row>
    <row r="413" spans="1:10" s="58" customFormat="1">
      <c r="A413" s="34"/>
      <c r="B413" s="2"/>
      <c r="D413"/>
      <c r="E413"/>
      <c r="F413"/>
      <c r="G413" s="41"/>
      <c r="H413" s="68"/>
      <c r="I413" s="41"/>
      <c r="J413"/>
    </row>
    <row r="414" spans="1:10" s="58" customFormat="1">
      <c r="A414" s="34"/>
      <c r="B414" s="2"/>
      <c r="D414"/>
      <c r="E414"/>
      <c r="F414"/>
      <c r="G414" s="41"/>
      <c r="H414" s="68"/>
      <c r="I414" s="41"/>
      <c r="J414"/>
    </row>
    <row r="415" spans="1:10" s="58" customFormat="1">
      <c r="A415" s="34"/>
      <c r="B415" s="2"/>
      <c r="D415"/>
      <c r="E415"/>
      <c r="F415"/>
      <c r="G415" s="41"/>
      <c r="H415" s="68"/>
      <c r="I415" s="41"/>
      <c r="J415"/>
    </row>
    <row r="416" spans="1:10" s="58" customFormat="1">
      <c r="A416" s="34"/>
      <c r="B416" s="2"/>
      <c r="D416"/>
      <c r="E416"/>
      <c r="F416"/>
      <c r="G416" s="41"/>
      <c r="H416" s="68"/>
      <c r="I416" s="41"/>
      <c r="J416"/>
    </row>
    <row r="417" spans="1:10" s="58" customFormat="1">
      <c r="A417" s="34"/>
      <c r="B417" s="2"/>
      <c r="D417"/>
      <c r="E417"/>
      <c r="F417"/>
      <c r="G417" s="41"/>
      <c r="H417" s="68"/>
      <c r="I417" s="41"/>
      <c r="J417"/>
    </row>
    <row r="418" spans="1:10" s="58" customFormat="1">
      <c r="A418" s="34"/>
      <c r="B418" s="2"/>
      <c r="D418"/>
      <c r="E418"/>
      <c r="F418"/>
      <c r="G418" s="41"/>
      <c r="H418" s="68"/>
      <c r="I418" s="41"/>
      <c r="J418"/>
    </row>
    <row r="419" spans="1:10" s="58" customFormat="1">
      <c r="A419" s="34"/>
      <c r="B419" s="2"/>
      <c r="D419"/>
      <c r="E419"/>
      <c r="F419"/>
      <c r="G419" s="41"/>
      <c r="H419" s="68"/>
      <c r="I419" s="41"/>
      <c r="J419"/>
    </row>
    <row r="420" spans="1:10" s="58" customFormat="1">
      <c r="A420" s="34"/>
      <c r="B420" s="2"/>
      <c r="D420"/>
      <c r="E420"/>
      <c r="F420"/>
      <c r="G420" s="41"/>
      <c r="H420" s="68"/>
      <c r="I420" s="41"/>
      <c r="J420"/>
    </row>
    <row r="421" spans="1:10" s="58" customFormat="1">
      <c r="A421" s="34"/>
      <c r="B421" s="2"/>
      <c r="D421"/>
      <c r="E421"/>
      <c r="F421"/>
      <c r="G421" s="41"/>
      <c r="H421" s="68"/>
      <c r="I421" s="41"/>
      <c r="J421"/>
    </row>
    <row r="422" spans="1:10" s="58" customFormat="1">
      <c r="A422" s="34"/>
      <c r="B422" s="2"/>
      <c r="D422"/>
      <c r="E422"/>
      <c r="F422"/>
      <c r="G422" s="41"/>
      <c r="H422" s="68"/>
      <c r="I422" s="41"/>
      <c r="J422"/>
    </row>
    <row r="423" spans="1:10" s="58" customFormat="1">
      <c r="A423" s="34"/>
      <c r="B423" s="2"/>
      <c r="D423"/>
      <c r="E423"/>
      <c r="F423"/>
      <c r="G423" s="41"/>
      <c r="H423" s="68"/>
      <c r="I423" s="41"/>
      <c r="J423"/>
    </row>
    <row r="424" spans="1:10" s="58" customFormat="1">
      <c r="A424" s="34"/>
      <c r="B424" s="2"/>
      <c r="D424"/>
      <c r="E424"/>
      <c r="F424"/>
      <c r="G424" s="41"/>
      <c r="H424" s="68"/>
      <c r="I424" s="41"/>
      <c r="J424"/>
    </row>
    <row r="425" spans="1:10" s="58" customFormat="1">
      <c r="A425" s="34"/>
      <c r="B425" s="2"/>
      <c r="D425"/>
      <c r="E425"/>
      <c r="F425"/>
      <c r="G425" s="41"/>
      <c r="H425" s="68"/>
      <c r="I425" s="41"/>
      <c r="J425"/>
    </row>
    <row r="426" spans="1:10" s="58" customFormat="1">
      <c r="A426" s="34"/>
      <c r="B426" s="2"/>
      <c r="D426"/>
      <c r="E426"/>
      <c r="F426"/>
      <c r="G426" s="41"/>
      <c r="H426" s="68"/>
      <c r="I426" s="41"/>
      <c r="J426"/>
    </row>
    <row r="427" spans="1:10" s="58" customFormat="1">
      <c r="A427" s="34"/>
      <c r="B427" s="2"/>
      <c r="D427"/>
      <c r="E427"/>
      <c r="F427"/>
      <c r="G427" s="41"/>
      <c r="H427" s="68"/>
      <c r="I427" s="41"/>
      <c r="J427"/>
    </row>
    <row r="428" spans="1:10" s="58" customFormat="1">
      <c r="A428" s="34"/>
      <c r="B428" s="2"/>
      <c r="D428"/>
      <c r="E428"/>
      <c r="F428"/>
      <c r="G428" s="41"/>
      <c r="H428" s="68"/>
      <c r="I428" s="41"/>
      <c r="J428"/>
    </row>
    <row r="429" spans="1:10" s="58" customFormat="1">
      <c r="A429" s="34"/>
      <c r="B429" s="2"/>
      <c r="D429"/>
      <c r="E429"/>
      <c r="F429"/>
      <c r="G429" s="41"/>
      <c r="H429" s="68"/>
      <c r="I429" s="41"/>
      <c r="J429"/>
    </row>
    <row r="430" spans="1:10" s="58" customFormat="1">
      <c r="A430" s="34"/>
      <c r="B430" s="2"/>
      <c r="D430"/>
      <c r="E430"/>
      <c r="F430"/>
      <c r="G430" s="41"/>
      <c r="H430" s="68"/>
      <c r="I430" s="41"/>
      <c r="J430"/>
    </row>
    <row r="431" spans="1:10" s="58" customFormat="1">
      <c r="A431" s="34"/>
      <c r="B431" s="2"/>
      <c r="D431"/>
      <c r="E431"/>
      <c r="F431"/>
      <c r="G431" s="41"/>
      <c r="H431" s="68"/>
      <c r="I431" s="41"/>
      <c r="J431"/>
    </row>
    <row r="432" spans="1:10" s="58" customFormat="1">
      <c r="A432" s="34"/>
      <c r="B432" s="2"/>
      <c r="D432"/>
      <c r="E432"/>
      <c r="F432"/>
      <c r="G432" s="41"/>
      <c r="H432" s="68"/>
      <c r="I432" s="41"/>
      <c r="J432"/>
    </row>
    <row r="433" spans="1:10" s="58" customFormat="1">
      <c r="A433" s="34"/>
      <c r="B433" s="2"/>
      <c r="D433"/>
      <c r="E433"/>
      <c r="F433"/>
      <c r="G433" s="41"/>
      <c r="H433" s="68"/>
      <c r="I433" s="41"/>
      <c r="J433"/>
    </row>
    <row r="434" spans="1:10" s="58" customFormat="1">
      <c r="A434" s="34"/>
      <c r="B434" s="2"/>
      <c r="D434"/>
      <c r="E434"/>
      <c r="F434"/>
      <c r="G434" s="41"/>
      <c r="H434" s="68"/>
      <c r="I434" s="41"/>
      <c r="J434"/>
    </row>
    <row r="435" spans="1:10" s="58" customFormat="1">
      <c r="A435" s="34"/>
      <c r="B435" s="2"/>
      <c r="D435"/>
      <c r="E435"/>
      <c r="F435"/>
      <c r="G435" s="41"/>
      <c r="H435" s="68"/>
      <c r="I435" s="41"/>
      <c r="J435"/>
    </row>
    <row r="436" spans="1:10" s="58" customFormat="1">
      <c r="A436" s="34"/>
      <c r="B436" s="2"/>
      <c r="D436"/>
      <c r="E436"/>
      <c r="F436"/>
      <c r="G436" s="41"/>
      <c r="H436" s="68"/>
      <c r="I436" s="41"/>
      <c r="J436"/>
    </row>
    <row r="437" spans="1:10" s="58" customFormat="1">
      <c r="A437" s="34"/>
      <c r="B437" s="2"/>
      <c r="D437"/>
      <c r="E437"/>
      <c r="F437"/>
      <c r="G437" s="41"/>
      <c r="H437" s="68"/>
      <c r="I437" s="41"/>
      <c r="J437"/>
    </row>
    <row r="438" spans="1:10" s="58" customFormat="1">
      <c r="A438" s="34"/>
      <c r="B438" s="2"/>
      <c r="D438"/>
      <c r="E438"/>
      <c r="F438"/>
      <c r="G438" s="41"/>
      <c r="H438" s="68"/>
      <c r="I438" s="41"/>
      <c r="J438"/>
    </row>
    <row r="439" spans="1:10" s="58" customFormat="1">
      <c r="A439" s="34"/>
      <c r="B439" s="2"/>
      <c r="D439"/>
      <c r="E439"/>
      <c r="F439"/>
      <c r="G439" s="41"/>
      <c r="H439" s="68"/>
      <c r="I439" s="41"/>
      <c r="J439"/>
    </row>
    <row r="440" spans="1:10" s="58" customFormat="1">
      <c r="A440" s="34"/>
      <c r="B440" s="2"/>
      <c r="D440"/>
      <c r="E440"/>
      <c r="F440"/>
      <c r="G440" s="41"/>
      <c r="H440" s="68"/>
      <c r="I440" s="41"/>
      <c r="J440"/>
    </row>
    <row r="441" spans="1:10" s="58" customFormat="1">
      <c r="A441" s="34"/>
      <c r="B441" s="2"/>
      <c r="D441"/>
      <c r="E441"/>
      <c r="F441"/>
      <c r="G441" s="41"/>
      <c r="H441" s="68"/>
      <c r="I441" s="41"/>
      <c r="J441"/>
    </row>
    <row r="442" spans="1:10" s="58" customFormat="1">
      <c r="A442" s="34"/>
      <c r="B442" s="2"/>
      <c r="D442"/>
      <c r="E442"/>
      <c r="F442"/>
      <c r="G442" s="41"/>
      <c r="H442" s="68"/>
      <c r="I442" s="41"/>
      <c r="J442"/>
    </row>
    <row r="443" spans="1:10" s="58" customFormat="1">
      <c r="A443" s="34"/>
      <c r="B443" s="2"/>
      <c r="D443"/>
      <c r="E443"/>
      <c r="F443"/>
      <c r="G443" s="41"/>
      <c r="H443" s="68"/>
      <c r="I443" s="41"/>
      <c r="J443"/>
    </row>
    <row r="444" spans="1:10" s="58" customFormat="1">
      <c r="A444" s="34"/>
      <c r="B444" s="2"/>
      <c r="D444"/>
      <c r="E444"/>
      <c r="F444"/>
      <c r="G444" s="41"/>
      <c r="H444" s="68"/>
      <c r="I444" s="41"/>
      <c r="J444"/>
    </row>
    <row r="445" spans="1:10" s="58" customFormat="1">
      <c r="A445" s="34"/>
      <c r="B445" s="2"/>
      <c r="D445"/>
      <c r="E445"/>
      <c r="F445"/>
      <c r="G445" s="41"/>
      <c r="H445" s="68"/>
      <c r="I445" s="41"/>
      <c r="J445"/>
    </row>
    <row r="446" spans="1:10" s="58" customFormat="1">
      <c r="A446" s="34"/>
      <c r="B446" s="2"/>
      <c r="D446"/>
      <c r="E446"/>
      <c r="F446"/>
      <c r="G446" s="41"/>
      <c r="H446" s="68"/>
      <c r="I446" s="41"/>
      <c r="J446"/>
    </row>
    <row r="447" spans="1:10" s="58" customFormat="1">
      <c r="A447" s="34"/>
      <c r="B447" s="2"/>
      <c r="D447"/>
      <c r="E447"/>
      <c r="F447"/>
      <c r="G447" s="41"/>
      <c r="H447" s="68"/>
      <c r="I447" s="41"/>
      <c r="J447"/>
    </row>
    <row r="448" spans="1:10" s="58" customFormat="1">
      <c r="A448" s="34"/>
      <c r="B448" s="2"/>
      <c r="D448"/>
      <c r="E448"/>
      <c r="F448"/>
      <c r="G448" s="41"/>
      <c r="H448" s="68"/>
      <c r="I448" s="41"/>
      <c r="J448"/>
    </row>
    <row r="449" spans="1:10" s="58" customFormat="1">
      <c r="A449" s="34"/>
      <c r="B449" s="2"/>
      <c r="D449"/>
      <c r="E449"/>
      <c r="F449"/>
      <c r="G449" s="41"/>
      <c r="H449" s="68"/>
      <c r="I449" s="41"/>
      <c r="J449"/>
    </row>
    <row r="450" spans="1:10" s="58" customFormat="1">
      <c r="A450" s="34"/>
      <c r="B450" s="2"/>
      <c r="D450"/>
      <c r="E450"/>
      <c r="F450"/>
      <c r="G450" s="41"/>
      <c r="H450" s="68"/>
      <c r="I450" s="41"/>
      <c r="J450"/>
    </row>
    <row r="451" spans="1:10" s="58" customFormat="1">
      <c r="A451" s="34"/>
      <c r="B451" s="2"/>
      <c r="D451"/>
      <c r="E451"/>
      <c r="F451"/>
      <c r="G451" s="41"/>
      <c r="H451" s="68"/>
      <c r="I451" s="41"/>
      <c r="J451"/>
    </row>
    <row r="452" spans="1:10" s="58" customFormat="1">
      <c r="A452" s="34"/>
      <c r="B452" s="2"/>
      <c r="D452"/>
      <c r="E452"/>
      <c r="F452"/>
      <c r="G452" s="41"/>
      <c r="H452" s="68"/>
      <c r="I452" s="41"/>
      <c r="J452"/>
    </row>
    <row r="453" spans="1:10" s="58" customFormat="1">
      <c r="A453" s="34"/>
      <c r="B453" s="2"/>
      <c r="D453"/>
      <c r="E453"/>
      <c r="F453"/>
      <c r="G453" s="41"/>
      <c r="H453" s="68"/>
      <c r="I453" s="41"/>
      <c r="J453"/>
    </row>
    <row r="454" spans="1:10" s="58" customFormat="1">
      <c r="A454" s="34"/>
      <c r="B454" s="2"/>
      <c r="D454"/>
      <c r="E454"/>
      <c r="F454"/>
      <c r="G454" s="41"/>
      <c r="H454" s="68"/>
      <c r="I454" s="41"/>
      <c r="J454"/>
    </row>
    <row r="455" spans="1:10" s="58" customFormat="1">
      <c r="A455" s="34"/>
      <c r="B455" s="2"/>
      <c r="D455"/>
      <c r="E455"/>
      <c r="F455"/>
      <c r="G455" s="41"/>
      <c r="H455" s="68"/>
      <c r="I455" s="41"/>
      <c r="J455"/>
    </row>
    <row r="456" spans="1:10" s="58" customFormat="1">
      <c r="A456" s="34"/>
      <c r="B456" s="2"/>
      <c r="D456"/>
      <c r="E456"/>
      <c r="F456"/>
      <c r="G456" s="41"/>
      <c r="H456" s="68"/>
      <c r="I456" s="41"/>
      <c r="J456"/>
    </row>
    <row r="457" spans="1:10" s="58" customFormat="1">
      <c r="A457" s="34"/>
      <c r="B457" s="2"/>
      <c r="D457"/>
      <c r="E457"/>
      <c r="F457"/>
      <c r="G457" s="41"/>
      <c r="H457" s="68"/>
      <c r="I457" s="41"/>
      <c r="J457"/>
    </row>
    <row r="458" spans="1:10" s="58" customFormat="1">
      <c r="A458" s="34"/>
      <c r="B458" s="2"/>
      <c r="D458"/>
      <c r="E458"/>
      <c r="F458"/>
      <c r="G458" s="41"/>
      <c r="H458" s="68"/>
      <c r="I458" s="41"/>
      <c r="J458"/>
    </row>
    <row r="459" spans="1:10" s="58" customFormat="1">
      <c r="A459" s="34"/>
      <c r="B459" s="2"/>
      <c r="D459"/>
      <c r="E459"/>
      <c r="F459"/>
      <c r="G459" s="41"/>
      <c r="H459" s="68"/>
      <c r="I459" s="41"/>
      <c r="J459"/>
    </row>
    <row r="460" spans="1:10" s="58" customFormat="1">
      <c r="A460" s="34"/>
      <c r="B460" s="2"/>
      <c r="D460"/>
      <c r="E460"/>
      <c r="F460"/>
      <c r="G460" s="41"/>
      <c r="H460" s="68"/>
      <c r="I460" s="41"/>
      <c r="J460"/>
    </row>
    <row r="461" spans="1:10" s="58" customFormat="1">
      <c r="A461" s="34"/>
      <c r="B461" s="2"/>
      <c r="D461"/>
      <c r="E461"/>
      <c r="F461"/>
      <c r="G461" s="41"/>
      <c r="H461" s="68"/>
      <c r="I461" s="41"/>
      <c r="J461"/>
    </row>
    <row r="462" spans="1:10" s="58" customFormat="1">
      <c r="A462" s="34"/>
      <c r="B462" s="2"/>
      <c r="D462"/>
      <c r="E462"/>
      <c r="F462"/>
      <c r="G462" s="41"/>
      <c r="H462" s="68"/>
      <c r="I462" s="41"/>
      <c r="J462"/>
    </row>
    <row r="463" spans="1:10" s="58" customFormat="1">
      <c r="A463" s="34"/>
      <c r="B463" s="2"/>
      <c r="D463"/>
      <c r="E463"/>
      <c r="F463"/>
      <c r="G463" s="41"/>
      <c r="H463" s="68"/>
      <c r="I463" s="41"/>
      <c r="J463"/>
    </row>
    <row r="464" spans="1:10" s="58" customFormat="1">
      <c r="A464" s="34"/>
      <c r="B464" s="2"/>
      <c r="D464"/>
      <c r="E464"/>
      <c r="F464"/>
      <c r="G464" s="41"/>
      <c r="H464" s="68"/>
      <c r="I464" s="41"/>
      <c r="J464"/>
    </row>
    <row r="465" spans="1:10" s="58" customFormat="1">
      <c r="A465" s="34"/>
      <c r="B465" s="2"/>
      <c r="D465"/>
      <c r="E465"/>
      <c r="F465"/>
      <c r="G465" s="41"/>
      <c r="H465" s="68"/>
      <c r="I465" s="41"/>
      <c r="J465"/>
    </row>
    <row r="466" spans="1:10" s="58" customFormat="1">
      <c r="A466" s="34"/>
      <c r="B466" s="2"/>
      <c r="D466"/>
      <c r="E466"/>
      <c r="F466"/>
      <c r="G466" s="41"/>
      <c r="H466" s="68"/>
      <c r="I466" s="41"/>
      <c r="J466"/>
    </row>
    <row r="467" spans="1:10" s="58" customFormat="1">
      <c r="A467" s="34"/>
      <c r="B467" s="2"/>
      <c r="D467"/>
      <c r="E467"/>
      <c r="F467"/>
      <c r="G467" s="41"/>
      <c r="H467" s="68"/>
      <c r="I467" s="41"/>
      <c r="J467"/>
    </row>
    <row r="468" spans="1:10" s="58" customFormat="1">
      <c r="A468" s="34"/>
      <c r="B468" s="2"/>
      <c r="D468"/>
      <c r="E468"/>
      <c r="F468"/>
      <c r="G468" s="41"/>
      <c r="H468" s="68"/>
      <c r="I468" s="41"/>
      <c r="J468"/>
    </row>
    <row r="469" spans="1:10" s="58" customFormat="1">
      <c r="A469" s="34"/>
      <c r="B469" s="2"/>
      <c r="D469"/>
      <c r="E469"/>
      <c r="F469"/>
      <c r="G469" s="41"/>
      <c r="H469" s="68"/>
      <c r="I469" s="41"/>
      <c r="J469"/>
    </row>
    <row r="470" spans="1:10" s="58" customFormat="1">
      <c r="A470" s="34"/>
      <c r="B470" s="2"/>
      <c r="D470"/>
      <c r="E470"/>
      <c r="F470"/>
      <c r="G470" s="41"/>
      <c r="H470" s="68"/>
      <c r="I470" s="41"/>
      <c r="J470"/>
    </row>
    <row r="471" spans="1:10" s="58" customFormat="1">
      <c r="A471" s="34"/>
      <c r="B471" s="2"/>
      <c r="D471"/>
      <c r="E471"/>
      <c r="F471"/>
      <c r="G471" s="41"/>
      <c r="H471" s="68"/>
      <c r="I471" s="41"/>
      <c r="J471"/>
    </row>
    <row r="472" spans="1:10" s="58" customFormat="1">
      <c r="A472" s="34"/>
      <c r="B472" s="2"/>
      <c r="D472"/>
      <c r="E472"/>
      <c r="F472"/>
      <c r="G472" s="41"/>
      <c r="H472" s="68"/>
      <c r="I472" s="41"/>
      <c r="J472"/>
    </row>
    <row r="473" spans="1:10" s="58" customFormat="1">
      <c r="A473" s="34"/>
      <c r="B473" s="2"/>
      <c r="D473"/>
      <c r="E473"/>
      <c r="F473"/>
      <c r="G473" s="41"/>
      <c r="H473" s="68"/>
      <c r="I473" s="41"/>
      <c r="J473"/>
    </row>
    <row r="474" spans="1:10" s="58" customFormat="1">
      <c r="A474" s="34"/>
      <c r="B474" s="2"/>
      <c r="D474"/>
      <c r="E474"/>
      <c r="F474"/>
      <c r="G474" s="41"/>
      <c r="H474" s="68"/>
      <c r="I474" s="41"/>
      <c r="J474"/>
    </row>
    <row r="475" spans="1:10" s="58" customFormat="1">
      <c r="A475" s="34"/>
      <c r="B475" s="2"/>
      <c r="D475"/>
      <c r="E475"/>
      <c r="F475"/>
      <c r="G475" s="41"/>
      <c r="H475" s="68"/>
      <c r="I475" s="41"/>
      <c r="J475"/>
    </row>
    <row r="476" spans="1:10" s="58" customFormat="1">
      <c r="A476" s="34"/>
      <c r="B476" s="2"/>
      <c r="D476"/>
      <c r="E476"/>
      <c r="F476"/>
      <c r="G476" s="41"/>
      <c r="H476" s="68"/>
      <c r="I476" s="41"/>
      <c r="J476"/>
    </row>
    <row r="477" spans="1:10" s="58" customFormat="1">
      <c r="A477" s="34"/>
      <c r="B477" s="2"/>
      <c r="D477"/>
      <c r="E477"/>
      <c r="F477"/>
      <c r="G477" s="41"/>
      <c r="H477" s="68"/>
      <c r="I477" s="41"/>
      <c r="J477"/>
    </row>
    <row r="478" spans="1:10" s="58" customFormat="1">
      <c r="A478" s="34"/>
      <c r="B478" s="2"/>
      <c r="D478"/>
      <c r="E478"/>
      <c r="F478"/>
      <c r="G478" s="41"/>
      <c r="H478" s="68"/>
      <c r="I478" s="41"/>
      <c r="J478"/>
    </row>
    <row r="479" spans="1:10" s="58" customFormat="1">
      <c r="A479" s="34"/>
      <c r="B479" s="2"/>
      <c r="D479"/>
      <c r="E479"/>
      <c r="F479"/>
      <c r="G479" s="41"/>
      <c r="H479" s="68"/>
      <c r="I479" s="41"/>
      <c r="J479"/>
    </row>
    <row r="480" spans="1:10" s="58" customFormat="1">
      <c r="A480" s="34"/>
      <c r="B480" s="2"/>
      <c r="D480"/>
      <c r="E480"/>
      <c r="F480"/>
      <c r="G480" s="41"/>
      <c r="H480" s="68"/>
      <c r="I480" s="41"/>
      <c r="J480"/>
    </row>
    <row r="481" spans="1:10" s="58" customFormat="1">
      <c r="A481" s="34"/>
      <c r="B481" s="2"/>
      <c r="D481"/>
      <c r="E481"/>
      <c r="F481"/>
      <c r="G481" s="41"/>
      <c r="H481" s="68"/>
      <c r="I481" s="41"/>
      <c r="J481"/>
    </row>
    <row r="482" spans="1:10" s="58" customFormat="1">
      <c r="A482" s="34"/>
      <c r="B482" s="2"/>
      <c r="D482"/>
      <c r="E482"/>
      <c r="F482"/>
      <c r="G482" s="41"/>
      <c r="H482" s="68"/>
      <c r="I482" s="41"/>
      <c r="J482"/>
    </row>
    <row r="483" spans="1:10" s="58" customFormat="1">
      <c r="A483" s="34"/>
      <c r="B483" s="2"/>
      <c r="D483"/>
      <c r="E483"/>
      <c r="F483"/>
      <c r="G483" s="41"/>
      <c r="H483" s="68"/>
      <c r="I483" s="41"/>
      <c r="J483"/>
    </row>
    <row r="484" spans="1:10" s="58" customFormat="1">
      <c r="A484" s="34"/>
      <c r="B484" s="2"/>
      <c r="D484"/>
      <c r="E484"/>
      <c r="F484"/>
      <c r="G484" s="41"/>
      <c r="H484" s="68"/>
      <c r="I484" s="41"/>
      <c r="J484"/>
    </row>
    <row r="485" spans="1:10" s="58" customFormat="1">
      <c r="A485" s="34"/>
      <c r="B485" s="2"/>
      <c r="D485"/>
      <c r="E485"/>
      <c r="F485"/>
      <c r="G485" s="41"/>
      <c r="H485" s="68"/>
      <c r="I485" s="41"/>
      <c r="J485"/>
    </row>
    <row r="486" spans="1:10" s="58" customFormat="1">
      <c r="A486" s="34"/>
      <c r="B486" s="2"/>
      <c r="D486"/>
      <c r="E486"/>
      <c r="F486"/>
      <c r="G486" s="41"/>
      <c r="H486" s="68"/>
      <c r="I486" s="41"/>
      <c r="J486"/>
    </row>
    <row r="487" spans="1:10" s="58" customFormat="1">
      <c r="A487" s="34"/>
      <c r="B487" s="2"/>
      <c r="D487"/>
      <c r="E487"/>
      <c r="F487"/>
      <c r="G487" s="41"/>
      <c r="H487" s="68"/>
      <c r="I487" s="41"/>
      <c r="J487"/>
    </row>
    <row r="488" spans="1:10" s="58" customFormat="1">
      <c r="A488" s="34"/>
      <c r="B488" s="2"/>
      <c r="D488"/>
      <c r="E488"/>
      <c r="F488"/>
      <c r="G488" s="41"/>
      <c r="H488" s="68"/>
      <c r="I488" s="41"/>
      <c r="J488"/>
    </row>
    <row r="489" spans="1:10" s="58" customFormat="1">
      <c r="A489" s="34"/>
      <c r="B489" s="2"/>
      <c r="D489"/>
      <c r="E489"/>
      <c r="F489"/>
      <c r="G489" s="41"/>
      <c r="H489" s="68"/>
      <c r="I489" s="41"/>
      <c r="J489"/>
    </row>
    <row r="490" spans="1:10" s="58" customFormat="1">
      <c r="A490" s="34"/>
      <c r="B490" s="2"/>
      <c r="D490"/>
      <c r="E490"/>
      <c r="F490"/>
      <c r="G490" s="41"/>
      <c r="H490" s="68"/>
      <c r="I490" s="41"/>
      <c r="J490"/>
    </row>
    <row r="491" spans="1:10" s="58" customFormat="1">
      <c r="A491" s="34"/>
      <c r="B491" s="2"/>
      <c r="D491"/>
      <c r="E491"/>
      <c r="F491"/>
      <c r="G491" s="41"/>
      <c r="H491" s="68"/>
      <c r="I491" s="41"/>
      <c r="J491"/>
    </row>
    <row r="492" spans="1:10" s="58" customFormat="1">
      <c r="A492" s="34"/>
      <c r="B492" s="2"/>
      <c r="D492"/>
      <c r="E492"/>
      <c r="F492"/>
      <c r="G492" s="41"/>
      <c r="H492" s="68"/>
      <c r="I492" s="41"/>
      <c r="J492"/>
    </row>
    <row r="493" spans="1:10" s="58" customFormat="1">
      <c r="A493" s="34"/>
      <c r="B493" s="2"/>
      <c r="D493"/>
      <c r="E493"/>
      <c r="F493"/>
      <c r="G493" s="41"/>
      <c r="H493" s="68"/>
      <c r="I493" s="41"/>
      <c r="J493"/>
    </row>
    <row r="494" spans="1:10" s="58" customFormat="1">
      <c r="A494" s="34"/>
      <c r="B494" s="2"/>
      <c r="D494"/>
      <c r="E494"/>
      <c r="F494"/>
      <c r="G494" s="41"/>
      <c r="H494" s="68"/>
      <c r="I494" s="41"/>
      <c r="J494"/>
    </row>
    <row r="495" spans="1:10" s="58" customFormat="1">
      <c r="A495" s="34"/>
      <c r="B495" s="2"/>
      <c r="D495"/>
      <c r="E495"/>
      <c r="F495"/>
      <c r="G495" s="41"/>
      <c r="H495" s="68"/>
      <c r="I495" s="41"/>
      <c r="J495"/>
    </row>
    <row r="496" spans="1:10" s="58" customFormat="1">
      <c r="A496" s="34"/>
      <c r="B496" s="2"/>
      <c r="D496"/>
      <c r="E496"/>
      <c r="F496"/>
      <c r="G496" s="41"/>
      <c r="H496" s="68"/>
      <c r="I496" s="41"/>
      <c r="J496"/>
    </row>
    <row r="497" spans="1:10" s="58" customFormat="1">
      <c r="A497" s="34"/>
      <c r="B497" s="2"/>
      <c r="D497"/>
      <c r="E497"/>
      <c r="F497"/>
      <c r="G497" s="41"/>
      <c r="H497" s="68"/>
      <c r="I497" s="41"/>
      <c r="J497"/>
    </row>
    <row r="498" spans="1:10" s="58" customFormat="1">
      <c r="A498" s="34"/>
      <c r="B498" s="2"/>
      <c r="D498"/>
      <c r="E498"/>
      <c r="F498"/>
      <c r="G498" s="41"/>
      <c r="H498" s="68"/>
      <c r="I498" s="41"/>
      <c r="J498"/>
    </row>
    <row r="499" spans="1:10" s="58" customFormat="1">
      <c r="A499" s="34"/>
      <c r="B499" s="2"/>
      <c r="D499"/>
      <c r="E499"/>
      <c r="F499"/>
      <c r="G499" s="41"/>
      <c r="H499" s="68"/>
      <c r="I499" s="41"/>
      <c r="J499"/>
    </row>
    <row r="500" spans="1:10" s="58" customFormat="1">
      <c r="A500" s="34"/>
      <c r="B500" s="2"/>
      <c r="D500"/>
      <c r="E500"/>
      <c r="F500"/>
      <c r="G500" s="41"/>
      <c r="H500" s="68"/>
      <c r="I500" s="41"/>
      <c r="J500"/>
    </row>
    <row r="501" spans="1:10" s="58" customFormat="1">
      <c r="A501" s="34"/>
      <c r="B501" s="2"/>
      <c r="D501"/>
      <c r="E501"/>
      <c r="F501"/>
      <c r="G501" s="41"/>
      <c r="H501" s="68"/>
      <c r="I501" s="41"/>
      <c r="J501"/>
    </row>
    <row r="502" spans="1:10" s="58" customFormat="1">
      <c r="A502" s="34"/>
      <c r="B502" s="2"/>
      <c r="D502"/>
      <c r="E502"/>
      <c r="F502"/>
      <c r="G502" s="41"/>
      <c r="H502" s="68"/>
      <c r="I502" s="41"/>
      <c r="J502"/>
    </row>
    <row r="503" spans="1:10" s="58" customFormat="1">
      <c r="A503" s="34"/>
      <c r="B503" s="2"/>
      <c r="D503"/>
      <c r="E503"/>
      <c r="F503"/>
      <c r="G503" s="41"/>
      <c r="H503" s="68"/>
      <c r="I503" s="41"/>
      <c r="J503"/>
    </row>
    <row r="504" spans="1:10" s="58" customFormat="1">
      <c r="A504" s="34"/>
      <c r="B504" s="2"/>
      <c r="D504"/>
      <c r="E504"/>
      <c r="F504"/>
      <c r="G504" s="41"/>
      <c r="H504" s="68"/>
      <c r="I504" s="41"/>
      <c r="J504"/>
    </row>
    <row r="505" spans="1:10" s="58" customFormat="1">
      <c r="A505" s="34"/>
      <c r="B505" s="2"/>
      <c r="D505"/>
      <c r="E505"/>
      <c r="F505"/>
      <c r="G505" s="41"/>
      <c r="H505" s="68"/>
      <c r="I505" s="41"/>
      <c r="J505"/>
    </row>
    <row r="506" spans="1:10" s="58" customFormat="1">
      <c r="A506" s="34"/>
      <c r="B506" s="2"/>
      <c r="D506"/>
      <c r="E506"/>
      <c r="F506"/>
      <c r="G506" s="41"/>
      <c r="H506" s="68"/>
      <c r="I506" s="41"/>
      <c r="J506"/>
    </row>
    <row r="507" spans="1:10" s="58" customFormat="1">
      <c r="A507" s="34"/>
      <c r="B507" s="2"/>
      <c r="D507"/>
      <c r="E507"/>
      <c r="F507"/>
      <c r="G507" s="41"/>
      <c r="H507" s="68"/>
      <c r="I507" s="41"/>
      <c r="J507"/>
    </row>
    <row r="508" spans="1:10" s="58" customFormat="1">
      <c r="A508" s="34"/>
      <c r="B508" s="2"/>
      <c r="D508"/>
      <c r="E508"/>
      <c r="F508"/>
      <c r="G508" s="41"/>
      <c r="H508" s="68"/>
      <c r="I508" s="41"/>
      <c r="J508"/>
    </row>
    <row r="509" spans="1:10" s="58" customFormat="1">
      <c r="A509" s="34"/>
      <c r="B509" s="2"/>
      <c r="D509"/>
      <c r="E509"/>
      <c r="F509"/>
      <c r="G509" s="41"/>
      <c r="H509" s="68"/>
      <c r="I509" s="41"/>
      <c r="J509"/>
    </row>
    <row r="510" spans="1:10" s="58" customFormat="1">
      <c r="A510" s="34"/>
      <c r="B510" s="2"/>
      <c r="D510"/>
      <c r="E510"/>
      <c r="F510"/>
      <c r="G510" s="41"/>
      <c r="H510" s="68"/>
      <c r="I510" s="41"/>
      <c r="J510"/>
    </row>
    <row r="511" spans="1:10" s="58" customFormat="1">
      <c r="A511" s="34"/>
      <c r="B511" s="2"/>
      <c r="D511"/>
      <c r="E511"/>
      <c r="F511"/>
      <c r="G511" s="41"/>
      <c r="H511" s="68"/>
      <c r="I511" s="41"/>
      <c r="J511"/>
    </row>
    <row r="512" spans="1:10" s="58" customFormat="1">
      <c r="A512" s="34"/>
      <c r="B512" s="2"/>
      <c r="D512"/>
      <c r="E512"/>
      <c r="F512"/>
      <c r="G512" s="41"/>
      <c r="H512" s="68"/>
      <c r="I512" s="41"/>
      <c r="J512"/>
    </row>
    <row r="513" spans="1:10" s="58" customFormat="1">
      <c r="A513" s="34"/>
      <c r="B513" s="2"/>
      <c r="D513"/>
      <c r="E513"/>
      <c r="F513"/>
      <c r="G513" s="41"/>
      <c r="H513" s="68"/>
      <c r="I513" s="41"/>
      <c r="J513"/>
    </row>
    <row r="514" spans="1:10" s="58" customFormat="1">
      <c r="A514" s="34"/>
      <c r="B514" s="2"/>
      <c r="D514"/>
      <c r="E514"/>
      <c r="F514"/>
      <c r="G514" s="41"/>
      <c r="H514" s="68"/>
      <c r="I514" s="41"/>
      <c r="J514"/>
    </row>
    <row r="515" spans="1:10" s="58" customFormat="1">
      <c r="A515" s="34"/>
      <c r="B515" s="2"/>
      <c r="D515"/>
      <c r="E515"/>
      <c r="F515"/>
      <c r="G515" s="41"/>
      <c r="H515" s="68"/>
      <c r="I515" s="41"/>
      <c r="J515"/>
    </row>
    <row r="516" spans="1:10" s="58" customFormat="1">
      <c r="A516" s="34"/>
      <c r="B516" s="2"/>
      <c r="D516"/>
      <c r="E516"/>
      <c r="F516"/>
      <c r="G516" s="41"/>
      <c r="H516" s="68"/>
      <c r="I516" s="41"/>
      <c r="J516"/>
    </row>
    <row r="517" spans="1:10" s="58" customFormat="1">
      <c r="A517" s="34"/>
      <c r="B517" s="2"/>
      <c r="D517"/>
      <c r="E517"/>
      <c r="F517"/>
      <c r="G517" s="41"/>
      <c r="H517" s="68"/>
      <c r="I517" s="41"/>
      <c r="J517"/>
    </row>
    <row r="518" spans="1:10" s="58" customFormat="1">
      <c r="A518" s="34"/>
      <c r="B518" s="2"/>
      <c r="D518"/>
      <c r="E518"/>
      <c r="F518"/>
      <c r="G518" s="41"/>
      <c r="H518" s="68"/>
      <c r="I518" s="41"/>
      <c r="J518"/>
    </row>
    <row r="519" spans="1:10" s="58" customFormat="1">
      <c r="A519" s="34"/>
      <c r="B519" s="2"/>
      <c r="D519"/>
      <c r="E519"/>
      <c r="F519"/>
      <c r="G519" s="41"/>
      <c r="H519" s="68"/>
      <c r="I519" s="41"/>
      <c r="J519"/>
    </row>
    <row r="520" spans="1:10" s="58" customFormat="1">
      <c r="A520" s="34"/>
      <c r="B520" s="2"/>
      <c r="D520"/>
      <c r="E520"/>
      <c r="F520"/>
      <c r="G520" s="41"/>
      <c r="H520" s="68"/>
      <c r="I520" s="41"/>
      <c r="J520"/>
    </row>
    <row r="521" spans="1:10" s="58" customFormat="1">
      <c r="A521" s="34"/>
      <c r="B521" s="2"/>
      <c r="D521"/>
      <c r="E521"/>
      <c r="F521"/>
      <c r="G521" s="41"/>
      <c r="H521" s="68"/>
      <c r="I521" s="41"/>
      <c r="J521"/>
    </row>
    <row r="522" spans="1:10" s="58" customFormat="1">
      <c r="A522" s="34"/>
      <c r="B522" s="2"/>
      <c r="D522"/>
      <c r="E522"/>
      <c r="F522"/>
      <c r="G522" s="41"/>
      <c r="H522" s="68"/>
      <c r="I522" s="41"/>
      <c r="J522"/>
    </row>
    <row r="523" spans="1:10" s="58" customFormat="1">
      <c r="A523" s="34"/>
      <c r="B523" s="2"/>
      <c r="D523"/>
      <c r="E523"/>
      <c r="F523"/>
      <c r="G523" s="41"/>
      <c r="H523" s="68"/>
      <c r="I523" s="41"/>
      <c r="J523"/>
    </row>
    <row r="524" spans="1:10" s="58" customFormat="1">
      <c r="A524" s="34"/>
      <c r="B524" s="2"/>
      <c r="D524"/>
      <c r="E524"/>
      <c r="F524"/>
      <c r="G524" s="41"/>
      <c r="H524" s="68"/>
      <c r="I524" s="41"/>
      <c r="J524"/>
    </row>
    <row r="525" spans="1:10" s="58" customFormat="1">
      <c r="A525" s="34"/>
      <c r="B525" s="2"/>
      <c r="D525"/>
      <c r="E525"/>
      <c r="F525"/>
      <c r="G525" s="41"/>
      <c r="H525" s="68"/>
      <c r="I525" s="41"/>
      <c r="J525"/>
    </row>
    <row r="526" spans="1:10" s="58" customFormat="1">
      <c r="A526" s="34"/>
      <c r="B526" s="2"/>
      <c r="D526"/>
      <c r="E526"/>
      <c r="F526"/>
      <c r="G526" s="41"/>
      <c r="H526" s="68"/>
      <c r="I526" s="41"/>
      <c r="J526"/>
    </row>
    <row r="527" spans="1:10" s="58" customFormat="1">
      <c r="A527" s="34"/>
      <c r="B527" s="2"/>
      <c r="D527"/>
      <c r="E527"/>
      <c r="F527"/>
      <c r="G527" s="41"/>
      <c r="H527" s="68"/>
      <c r="I527" s="41"/>
      <c r="J527"/>
    </row>
    <row r="528" spans="1:10" s="58" customFormat="1">
      <c r="A528" s="34"/>
      <c r="B528" s="2"/>
      <c r="D528"/>
      <c r="E528"/>
      <c r="F528"/>
      <c r="G528" s="41"/>
      <c r="H528" s="68"/>
      <c r="I528" s="41"/>
      <c r="J528"/>
    </row>
    <row r="529" spans="1:10" s="58" customFormat="1">
      <c r="A529" s="34"/>
      <c r="B529" s="2"/>
      <c r="D529"/>
      <c r="E529"/>
      <c r="F529"/>
      <c r="G529" s="41"/>
      <c r="H529" s="68"/>
      <c r="I529" s="41"/>
      <c r="J529"/>
    </row>
    <row r="530" spans="1:10" s="58" customFormat="1">
      <c r="A530" s="34"/>
      <c r="B530" s="2"/>
      <c r="D530"/>
      <c r="E530"/>
      <c r="F530"/>
      <c r="G530" s="41"/>
      <c r="H530" s="68"/>
      <c r="I530" s="41"/>
      <c r="J530"/>
    </row>
    <row r="531" spans="1:10" s="58" customFormat="1">
      <c r="A531" s="34"/>
      <c r="B531" s="2"/>
      <c r="D531"/>
      <c r="E531"/>
      <c r="F531"/>
      <c r="G531" s="41"/>
      <c r="H531" s="68"/>
      <c r="I531" s="41"/>
      <c r="J531"/>
    </row>
    <row r="532" spans="1:10" s="58" customFormat="1">
      <c r="A532" s="34"/>
      <c r="B532" s="2"/>
      <c r="D532"/>
      <c r="E532"/>
      <c r="F532"/>
      <c r="G532" s="41"/>
      <c r="H532" s="68"/>
      <c r="I532" s="41"/>
      <c r="J532"/>
    </row>
    <row r="533" spans="1:10" s="58" customFormat="1">
      <c r="A533" s="34"/>
      <c r="B533" s="2"/>
      <c r="D533"/>
      <c r="E533"/>
      <c r="F533"/>
      <c r="G533" s="41"/>
      <c r="H533" s="68"/>
      <c r="I533" s="41"/>
      <c r="J533"/>
    </row>
    <row r="534" spans="1:10" s="58" customFormat="1">
      <c r="A534" s="34"/>
      <c r="B534" s="2"/>
      <c r="D534"/>
      <c r="E534"/>
      <c r="F534"/>
      <c r="G534" s="41"/>
      <c r="H534" s="68"/>
      <c r="I534" s="41"/>
      <c r="J534"/>
    </row>
    <row r="535" spans="1:10" s="58" customFormat="1">
      <c r="A535" s="34"/>
      <c r="B535" s="2"/>
      <c r="D535"/>
      <c r="E535"/>
      <c r="F535"/>
      <c r="G535" s="41"/>
      <c r="H535" s="68"/>
      <c r="I535" s="41"/>
      <c r="J535"/>
    </row>
    <row r="536" spans="1:10" s="58" customFormat="1">
      <c r="A536" s="34"/>
      <c r="B536" s="2"/>
      <c r="D536"/>
      <c r="E536"/>
      <c r="F536"/>
      <c r="G536" s="41"/>
      <c r="H536" s="68"/>
      <c r="I536" s="41"/>
      <c r="J536"/>
    </row>
    <row r="537" spans="1:10" s="58" customFormat="1">
      <c r="A537" s="34"/>
      <c r="B537" s="2"/>
      <c r="D537"/>
      <c r="E537"/>
      <c r="F537"/>
      <c r="G537" s="41"/>
      <c r="H537" s="68"/>
      <c r="I537" s="41"/>
      <c r="J537"/>
    </row>
    <row r="538" spans="1:10" s="58" customFormat="1">
      <c r="A538" s="34"/>
      <c r="B538" s="2"/>
      <c r="D538"/>
      <c r="E538"/>
      <c r="F538"/>
      <c r="G538" s="41"/>
      <c r="H538" s="68"/>
      <c r="I538" s="41"/>
      <c r="J538"/>
    </row>
    <row r="539" spans="1:10" s="58" customFormat="1">
      <c r="A539" s="34"/>
      <c r="B539" s="2"/>
      <c r="D539"/>
      <c r="E539"/>
      <c r="F539"/>
      <c r="G539" s="41"/>
      <c r="H539" s="68"/>
      <c r="I539" s="41"/>
      <c r="J539"/>
    </row>
    <row r="540" spans="1:10" s="58" customFormat="1">
      <c r="A540" s="34"/>
      <c r="B540" s="2"/>
      <c r="D540"/>
      <c r="E540"/>
      <c r="F540"/>
      <c r="G540" s="41"/>
      <c r="H540" s="68"/>
      <c r="I540" s="41"/>
      <c r="J540"/>
    </row>
    <row r="541" spans="1:10" s="58" customFormat="1">
      <c r="A541" s="34"/>
      <c r="B541" s="2"/>
      <c r="D541"/>
      <c r="E541"/>
      <c r="F541"/>
      <c r="G541" s="41"/>
      <c r="H541" s="68"/>
      <c r="I541" s="41"/>
      <c r="J541"/>
    </row>
    <row r="542" spans="1:10" s="58" customFormat="1">
      <c r="A542" s="34"/>
      <c r="B542" s="2"/>
      <c r="D542"/>
      <c r="E542"/>
      <c r="F542"/>
      <c r="G542" s="41"/>
      <c r="H542" s="68"/>
      <c r="I542" s="41"/>
      <c r="J542"/>
    </row>
    <row r="543" spans="1:10" s="58" customFormat="1">
      <c r="A543" s="34"/>
      <c r="B543" s="2"/>
      <c r="D543"/>
      <c r="E543"/>
      <c r="F543"/>
      <c r="G543" s="41"/>
      <c r="H543" s="68"/>
      <c r="I543" s="41"/>
      <c r="J543"/>
    </row>
    <row r="544" spans="1:10" s="58" customFormat="1">
      <c r="A544" s="34"/>
      <c r="B544" s="2"/>
      <c r="D544"/>
      <c r="E544"/>
      <c r="F544"/>
      <c r="G544" s="41"/>
      <c r="H544" s="68"/>
      <c r="I544" s="41"/>
      <c r="J544"/>
    </row>
    <row r="545" spans="1:10" s="58" customFormat="1">
      <c r="A545" s="34"/>
      <c r="B545" s="2"/>
      <c r="D545"/>
      <c r="E545"/>
      <c r="F545"/>
      <c r="G545" s="41"/>
      <c r="H545" s="68"/>
      <c r="I545" s="41"/>
      <c r="J545"/>
    </row>
    <row r="546" spans="1:10" s="58" customFormat="1">
      <c r="A546" s="34"/>
      <c r="B546" s="2"/>
      <c r="D546"/>
      <c r="E546"/>
      <c r="F546"/>
      <c r="G546" s="41"/>
      <c r="H546" s="68"/>
      <c r="I546" s="41"/>
      <c r="J546"/>
    </row>
    <row r="547" spans="1:10" s="58" customFormat="1">
      <c r="A547" s="34"/>
      <c r="B547" s="2"/>
      <c r="D547"/>
      <c r="E547"/>
      <c r="F547"/>
      <c r="G547" s="41"/>
      <c r="H547" s="68"/>
      <c r="I547" s="41"/>
      <c r="J547"/>
    </row>
    <row r="548" spans="1:10" s="58" customFormat="1">
      <c r="A548" s="34"/>
      <c r="B548" s="2"/>
      <c r="D548"/>
      <c r="E548"/>
      <c r="F548"/>
      <c r="G548" s="41"/>
      <c r="H548" s="68"/>
      <c r="I548" s="41"/>
      <c r="J548"/>
    </row>
    <row r="549" spans="1:10" s="58" customFormat="1">
      <c r="A549" s="34"/>
      <c r="B549" s="2"/>
      <c r="D549"/>
      <c r="E549"/>
      <c r="F549"/>
      <c r="G549" s="41"/>
      <c r="H549" s="68"/>
      <c r="I549" s="41"/>
      <c r="J549"/>
    </row>
    <row r="550" spans="1:10" s="58" customFormat="1">
      <c r="A550" s="34"/>
      <c r="B550" s="2"/>
      <c r="D550"/>
      <c r="E550"/>
      <c r="F550"/>
      <c r="G550" s="41"/>
      <c r="H550" s="68"/>
      <c r="I550" s="41"/>
      <c r="J550"/>
    </row>
    <row r="551" spans="1:10" s="58" customFormat="1">
      <c r="A551" s="34"/>
      <c r="B551" s="2"/>
      <c r="D551"/>
      <c r="E551"/>
      <c r="F551"/>
      <c r="G551" s="41"/>
      <c r="H551" s="68"/>
      <c r="I551" s="41"/>
      <c r="J551"/>
    </row>
    <row r="552" spans="1:10" s="58" customFormat="1">
      <c r="A552" s="34"/>
      <c r="B552" s="2"/>
      <c r="D552"/>
      <c r="E552"/>
      <c r="F552"/>
      <c r="G552" s="41"/>
      <c r="H552" s="68"/>
      <c r="I552" s="41"/>
      <c r="J552"/>
    </row>
    <row r="553" spans="1:10" s="58" customFormat="1">
      <c r="A553" s="34"/>
      <c r="B553" s="2"/>
      <c r="D553"/>
      <c r="E553"/>
      <c r="F553"/>
      <c r="G553" s="41"/>
      <c r="H553" s="68"/>
      <c r="I553" s="41"/>
      <c r="J553"/>
    </row>
    <row r="554" spans="1:10" s="58" customFormat="1">
      <c r="A554" s="34"/>
      <c r="B554" s="2"/>
      <c r="D554"/>
      <c r="E554"/>
      <c r="F554"/>
      <c r="G554" s="41"/>
      <c r="H554" s="68"/>
      <c r="I554" s="41"/>
      <c r="J554"/>
    </row>
    <row r="555" spans="1:10" s="58" customFormat="1">
      <c r="A555" s="34"/>
      <c r="B555" s="2"/>
      <c r="D555"/>
      <c r="E555"/>
      <c r="F555"/>
      <c r="G555" s="41"/>
      <c r="H555" s="68"/>
      <c r="I555" s="41"/>
      <c r="J555"/>
    </row>
    <row r="556" spans="1:10" s="58" customFormat="1">
      <c r="A556" s="34"/>
      <c r="B556" s="2"/>
      <c r="D556"/>
      <c r="E556"/>
      <c r="F556"/>
      <c r="G556" s="41"/>
      <c r="H556" s="68"/>
      <c r="I556" s="41"/>
      <c r="J556"/>
    </row>
    <row r="557" spans="1:10" s="58" customFormat="1">
      <c r="A557" s="34"/>
      <c r="B557" s="2"/>
      <c r="D557"/>
      <c r="E557"/>
      <c r="F557"/>
      <c r="G557" s="41"/>
      <c r="H557" s="68"/>
      <c r="I557" s="41"/>
      <c r="J557"/>
    </row>
    <row r="558" spans="1:10" s="58" customFormat="1">
      <c r="A558" s="34"/>
      <c r="B558" s="2"/>
      <c r="D558"/>
      <c r="E558"/>
      <c r="F558"/>
      <c r="G558" s="41"/>
      <c r="H558" s="68"/>
      <c r="I558" s="41"/>
      <c r="J558"/>
    </row>
    <row r="559" spans="1:10" s="58" customFormat="1">
      <c r="A559" s="34"/>
      <c r="B559" s="2"/>
      <c r="D559"/>
      <c r="E559"/>
      <c r="F559"/>
      <c r="G559" s="41"/>
      <c r="H559" s="68"/>
      <c r="I559" s="41"/>
      <c r="J559"/>
    </row>
    <row r="560" spans="1:10" s="58" customFormat="1">
      <c r="A560" s="34"/>
      <c r="B560" s="2"/>
      <c r="D560"/>
      <c r="E560"/>
      <c r="F560"/>
      <c r="G560" s="41"/>
      <c r="H560" s="68"/>
      <c r="I560" s="41"/>
      <c r="J560"/>
    </row>
    <row r="561" spans="1:10" s="58" customFormat="1">
      <c r="A561" s="34"/>
      <c r="B561" s="2"/>
      <c r="D561"/>
      <c r="E561"/>
      <c r="F561"/>
      <c r="G561" s="41"/>
      <c r="H561" s="68"/>
      <c r="I561" s="41"/>
      <c r="J561"/>
    </row>
    <row r="562" spans="1:10" s="58" customFormat="1">
      <c r="A562" s="34"/>
      <c r="B562" s="2"/>
      <c r="D562"/>
      <c r="E562"/>
      <c r="F562"/>
      <c r="G562" s="41"/>
      <c r="H562" s="68"/>
      <c r="I562" s="41"/>
      <c r="J562"/>
    </row>
    <row r="563" spans="1:10" s="58" customFormat="1">
      <c r="A563" s="34"/>
      <c r="B563" s="2"/>
      <c r="D563"/>
      <c r="E563"/>
      <c r="F563"/>
      <c r="G563" s="41"/>
      <c r="H563" s="68"/>
      <c r="I563" s="41"/>
      <c r="J563"/>
    </row>
    <row r="564" spans="1:10" s="58" customFormat="1">
      <c r="A564" s="34"/>
      <c r="B564" s="2"/>
      <c r="D564"/>
      <c r="E564"/>
      <c r="F564"/>
      <c r="G564" s="41"/>
      <c r="H564" s="68"/>
      <c r="I564" s="41"/>
      <c r="J564"/>
    </row>
    <row r="565" spans="1:10" s="58" customFormat="1">
      <c r="A565" s="34"/>
      <c r="B565" s="2"/>
      <c r="D565"/>
      <c r="E565"/>
      <c r="F565"/>
      <c r="G565" s="41"/>
      <c r="H565" s="68"/>
      <c r="I565" s="41"/>
      <c r="J565"/>
    </row>
    <row r="566" spans="1:10" s="58" customFormat="1">
      <c r="A566" s="34"/>
      <c r="B566" s="2"/>
      <c r="D566"/>
      <c r="E566"/>
      <c r="F566"/>
      <c r="G566" s="41"/>
      <c r="H566" s="68"/>
      <c r="I566" s="41"/>
      <c r="J566"/>
    </row>
    <row r="567" spans="1:10" s="58" customFormat="1">
      <c r="A567" s="34"/>
      <c r="B567" s="2"/>
      <c r="D567"/>
      <c r="E567"/>
      <c r="F567"/>
      <c r="G567" s="41"/>
      <c r="H567" s="68"/>
      <c r="I567" s="41"/>
      <c r="J567"/>
    </row>
    <row r="568" spans="1:10" s="58" customFormat="1">
      <c r="A568" s="34"/>
      <c r="B568" s="2"/>
      <c r="D568"/>
      <c r="E568"/>
      <c r="F568"/>
      <c r="G568" s="41"/>
      <c r="H568" s="68"/>
      <c r="I568" s="41"/>
      <c r="J568"/>
    </row>
    <row r="569" spans="1:10" s="58" customFormat="1">
      <c r="A569" s="34"/>
      <c r="B569" s="2"/>
      <c r="D569"/>
      <c r="E569"/>
      <c r="F569"/>
      <c r="G569" s="41"/>
      <c r="H569" s="68"/>
      <c r="I569" s="41"/>
      <c r="J569"/>
    </row>
    <row r="570" spans="1:10" s="58" customFormat="1">
      <c r="A570" s="34"/>
      <c r="B570" s="2"/>
      <c r="D570"/>
      <c r="E570"/>
      <c r="F570"/>
      <c r="G570" s="41"/>
      <c r="H570" s="68"/>
      <c r="I570" s="41"/>
      <c r="J570"/>
    </row>
    <row r="571" spans="1:10" s="58" customFormat="1">
      <c r="A571" s="34"/>
      <c r="B571" s="2"/>
      <c r="D571"/>
      <c r="E571"/>
      <c r="F571"/>
      <c r="G571" s="41"/>
      <c r="H571" s="68"/>
      <c r="I571" s="41"/>
      <c r="J571"/>
    </row>
    <row r="572" spans="1:10" s="58" customFormat="1">
      <c r="A572" s="34"/>
      <c r="B572" s="2"/>
      <c r="D572"/>
      <c r="E572"/>
      <c r="F572"/>
      <c r="G572" s="41"/>
      <c r="H572" s="68"/>
      <c r="I572" s="41"/>
      <c r="J572"/>
    </row>
    <row r="573" spans="1:10" s="58" customFormat="1">
      <c r="A573" s="34"/>
      <c r="B573" s="2"/>
      <c r="D573"/>
      <c r="E573"/>
      <c r="F573"/>
      <c r="G573" s="41"/>
      <c r="H573" s="68"/>
      <c r="I573" s="41"/>
      <c r="J573"/>
    </row>
    <row r="574" spans="1:10" s="58" customFormat="1">
      <c r="A574" s="34"/>
      <c r="B574" s="2"/>
      <c r="D574"/>
      <c r="E574"/>
      <c r="F574"/>
      <c r="G574" s="41"/>
      <c r="H574" s="68"/>
      <c r="I574" s="41"/>
      <c r="J574"/>
    </row>
    <row r="575" spans="1:10" s="58" customFormat="1">
      <c r="A575" s="34"/>
      <c r="B575" s="2"/>
      <c r="D575"/>
      <c r="E575"/>
      <c r="F575"/>
      <c r="G575" s="41"/>
      <c r="H575" s="68"/>
      <c r="I575" s="41"/>
      <c r="J575"/>
    </row>
    <row r="576" spans="1:10" s="58" customFormat="1">
      <c r="A576" s="34"/>
      <c r="B576" s="2"/>
      <c r="D576"/>
      <c r="E576"/>
      <c r="F576"/>
      <c r="G576" s="41"/>
      <c r="H576" s="68"/>
      <c r="I576" s="41"/>
      <c r="J576"/>
    </row>
    <row r="577" spans="1:10" s="58" customFormat="1">
      <c r="A577" s="34"/>
      <c r="B577" s="2"/>
      <c r="D577"/>
      <c r="E577"/>
      <c r="F577"/>
      <c r="G577" s="41"/>
      <c r="H577" s="68"/>
      <c r="I577" s="41"/>
      <c r="J577"/>
    </row>
    <row r="578" spans="1:10" s="58" customFormat="1">
      <c r="A578" s="34"/>
      <c r="B578" s="2"/>
      <c r="D578"/>
      <c r="E578"/>
      <c r="F578"/>
      <c r="G578" s="41"/>
      <c r="H578" s="68"/>
      <c r="I578" s="41"/>
      <c r="J578"/>
    </row>
    <row r="579" spans="1:10" s="58" customFormat="1">
      <c r="A579" s="34"/>
      <c r="B579" s="2"/>
      <c r="D579"/>
      <c r="E579"/>
      <c r="F579"/>
      <c r="G579" s="41"/>
      <c r="H579" s="68"/>
      <c r="I579" s="41"/>
      <c r="J579"/>
    </row>
    <row r="580" spans="1:10" s="58" customFormat="1">
      <c r="A580" s="34"/>
      <c r="B580" s="2"/>
      <c r="D580"/>
      <c r="E580"/>
      <c r="F580"/>
      <c r="G580" s="41"/>
      <c r="H580" s="68"/>
      <c r="I580" s="41"/>
      <c r="J580"/>
    </row>
    <row r="581" spans="1:10" s="58" customFormat="1">
      <c r="A581" s="34"/>
      <c r="B581" s="2"/>
      <c r="D581"/>
      <c r="E581"/>
      <c r="F581"/>
      <c r="G581" s="41"/>
      <c r="H581" s="68"/>
      <c r="I581" s="41"/>
      <c r="J581"/>
    </row>
    <row r="582" spans="1:10" s="58" customFormat="1">
      <c r="A582" s="34"/>
      <c r="B582" s="2"/>
      <c r="D582"/>
      <c r="E582"/>
      <c r="F582"/>
      <c r="G582" s="41"/>
      <c r="H582" s="68"/>
      <c r="I582" s="41"/>
      <c r="J582"/>
    </row>
    <row r="583" spans="1:10" s="58" customFormat="1">
      <c r="A583" s="34"/>
      <c r="B583" s="2"/>
      <c r="D583"/>
      <c r="E583"/>
      <c r="F583"/>
      <c r="G583" s="41"/>
      <c r="H583" s="68"/>
      <c r="I583" s="41"/>
      <c r="J583"/>
    </row>
    <row r="584" spans="1:10" s="58" customFormat="1">
      <c r="A584" s="34"/>
      <c r="B584" s="2"/>
      <c r="D584"/>
      <c r="E584"/>
      <c r="F584"/>
      <c r="G584" s="41"/>
      <c r="H584" s="68"/>
      <c r="I584" s="41"/>
      <c r="J584"/>
    </row>
    <row r="585" spans="1:10" s="58" customFormat="1">
      <c r="A585" s="34"/>
      <c r="B585" s="2"/>
      <c r="D585"/>
      <c r="E585"/>
      <c r="F585"/>
      <c r="G585" s="41"/>
      <c r="H585" s="68"/>
      <c r="I585" s="41"/>
      <c r="J585"/>
    </row>
    <row r="586" spans="1:10" s="58" customFormat="1">
      <c r="A586" s="34"/>
      <c r="B586" s="2"/>
      <c r="D586"/>
      <c r="E586"/>
      <c r="F586"/>
      <c r="G586" s="41"/>
      <c r="H586" s="68"/>
      <c r="I586" s="41"/>
      <c r="J586"/>
    </row>
    <row r="587" spans="1:10" s="58" customFormat="1">
      <c r="A587" s="34"/>
      <c r="B587" s="2"/>
      <c r="D587"/>
      <c r="E587"/>
      <c r="F587"/>
      <c r="G587" s="41"/>
      <c r="H587" s="68"/>
      <c r="I587" s="41"/>
      <c r="J587"/>
    </row>
    <row r="588" spans="1:10" s="58" customFormat="1">
      <c r="A588" s="34"/>
      <c r="B588" s="2"/>
      <c r="D588"/>
      <c r="E588"/>
      <c r="F588"/>
      <c r="G588" s="41"/>
      <c r="H588" s="68"/>
      <c r="I588" s="41"/>
      <c r="J588"/>
    </row>
    <row r="589" spans="1:10" s="58" customFormat="1">
      <c r="A589" s="34"/>
      <c r="B589" s="2"/>
      <c r="D589"/>
      <c r="E589"/>
      <c r="F589"/>
      <c r="G589" s="41"/>
      <c r="H589" s="68"/>
      <c r="I589" s="41"/>
      <c r="J589"/>
    </row>
    <row r="590" spans="1:10" s="58" customFormat="1">
      <c r="A590" s="34"/>
      <c r="B590" s="2"/>
      <c r="D590"/>
      <c r="E590"/>
      <c r="F590"/>
      <c r="G590" s="41"/>
      <c r="H590" s="68"/>
      <c r="I590" s="41"/>
      <c r="J590"/>
    </row>
    <row r="591" spans="1:10" s="58" customFormat="1">
      <c r="A591" s="34"/>
      <c r="B591" s="2"/>
      <c r="D591"/>
      <c r="E591"/>
      <c r="F591"/>
      <c r="G591" s="41"/>
      <c r="H591" s="68"/>
      <c r="I591" s="41"/>
      <c r="J591"/>
    </row>
    <row r="592" spans="1:10" s="58" customFormat="1">
      <c r="A592" s="34"/>
      <c r="B592" s="2"/>
      <c r="D592"/>
      <c r="E592"/>
      <c r="F592"/>
      <c r="G592" s="41"/>
      <c r="H592" s="68"/>
      <c r="I592" s="41"/>
      <c r="J592"/>
    </row>
    <row r="593" spans="1:10" s="58" customFormat="1">
      <c r="A593" s="34"/>
      <c r="B593" s="2"/>
      <c r="D593"/>
      <c r="E593"/>
      <c r="F593"/>
      <c r="G593" s="41"/>
      <c r="H593" s="68"/>
      <c r="I593" s="41"/>
      <c r="J593"/>
    </row>
    <row r="594" spans="1:10" s="58" customFormat="1">
      <c r="A594" s="34"/>
      <c r="B594" s="2"/>
      <c r="D594"/>
      <c r="E594"/>
      <c r="F594"/>
      <c r="G594" s="41"/>
      <c r="H594" s="68"/>
      <c r="I594" s="41"/>
      <c r="J594"/>
    </row>
    <row r="595" spans="1:10" s="58" customFormat="1">
      <c r="A595" s="34"/>
      <c r="B595" s="2"/>
      <c r="D595"/>
      <c r="E595"/>
      <c r="F595"/>
      <c r="G595" s="41"/>
      <c r="H595" s="68"/>
      <c r="I595" s="41"/>
      <c r="J595"/>
    </row>
    <row r="596" spans="1:10" s="58" customFormat="1">
      <c r="A596" s="34"/>
      <c r="B596" s="2"/>
      <c r="D596"/>
      <c r="E596"/>
      <c r="F596"/>
      <c r="G596" s="41"/>
      <c r="H596" s="68"/>
      <c r="I596" s="41"/>
      <c r="J596"/>
    </row>
    <row r="597" spans="1:10" s="58" customFormat="1">
      <c r="A597" s="34"/>
      <c r="B597" s="2"/>
      <c r="D597"/>
      <c r="E597"/>
      <c r="F597"/>
      <c r="G597" s="41"/>
      <c r="H597" s="68"/>
      <c r="I597" s="41"/>
      <c r="J597"/>
    </row>
    <row r="598" spans="1:10" s="58" customFormat="1">
      <c r="A598" s="34"/>
      <c r="B598" s="2"/>
      <c r="D598"/>
      <c r="E598"/>
      <c r="F598"/>
      <c r="G598" s="41"/>
      <c r="H598" s="68"/>
      <c r="I598" s="41"/>
      <c r="J598"/>
    </row>
    <row r="599" spans="1:10" s="58" customFormat="1">
      <c r="A599" s="34"/>
      <c r="B599" s="2"/>
      <c r="D599"/>
      <c r="E599"/>
      <c r="F599"/>
      <c r="G599" s="41"/>
      <c r="H599" s="68"/>
      <c r="I599" s="41"/>
      <c r="J599"/>
    </row>
    <row r="600" spans="1:10" s="58" customFormat="1">
      <c r="A600" s="34"/>
      <c r="B600" s="2"/>
      <c r="D600"/>
      <c r="E600"/>
      <c r="F600"/>
      <c r="G600" s="41"/>
      <c r="H600" s="68"/>
      <c r="I600" s="41"/>
      <c r="J600"/>
    </row>
    <row r="601" spans="1:10" s="58" customFormat="1">
      <c r="A601" s="34"/>
      <c r="B601" s="2"/>
      <c r="D601"/>
      <c r="E601"/>
      <c r="F601"/>
      <c r="G601" s="41"/>
      <c r="H601" s="68"/>
      <c r="I601" s="41"/>
      <c r="J601"/>
    </row>
    <row r="602" spans="1:10" s="58" customFormat="1">
      <c r="A602" s="34"/>
      <c r="B602" s="2"/>
      <c r="D602"/>
      <c r="E602"/>
      <c r="F602"/>
      <c r="G602" s="41"/>
      <c r="H602" s="68"/>
      <c r="I602" s="41"/>
      <c r="J602"/>
    </row>
    <row r="603" spans="1:10" s="58" customFormat="1">
      <c r="A603" s="34"/>
      <c r="B603" s="2"/>
      <c r="D603"/>
      <c r="E603"/>
      <c r="F603"/>
      <c r="G603" s="41"/>
      <c r="H603" s="68"/>
      <c r="I603" s="41"/>
      <c r="J603"/>
    </row>
    <row r="604" spans="1:10" s="58" customFormat="1">
      <c r="A604" s="34"/>
      <c r="B604" s="2"/>
      <c r="D604"/>
      <c r="E604"/>
      <c r="F604"/>
      <c r="G604" s="41"/>
      <c r="H604" s="68"/>
      <c r="I604" s="41"/>
      <c r="J604"/>
    </row>
    <row r="605" spans="1:10" s="58" customFormat="1">
      <c r="A605" s="34"/>
      <c r="B605" s="2"/>
      <c r="D605"/>
      <c r="E605"/>
      <c r="F605"/>
      <c r="G605" s="41"/>
      <c r="H605" s="68"/>
      <c r="I605" s="41"/>
      <c r="J605"/>
    </row>
    <row r="606" spans="1:10" s="58" customFormat="1">
      <c r="A606" s="34"/>
      <c r="B606" s="2"/>
      <c r="D606"/>
      <c r="E606"/>
      <c r="F606"/>
      <c r="G606" s="41"/>
      <c r="H606" s="68"/>
      <c r="I606" s="41"/>
      <c r="J606"/>
    </row>
    <row r="607" spans="1:10" s="58" customFormat="1">
      <c r="A607" s="34"/>
      <c r="B607" s="2"/>
      <c r="D607"/>
      <c r="E607"/>
      <c r="F607"/>
      <c r="G607" s="41"/>
      <c r="H607" s="68"/>
      <c r="I607" s="41"/>
      <c r="J607"/>
    </row>
    <row r="608" spans="1:10" s="58" customFormat="1">
      <c r="A608" s="34"/>
      <c r="B608" s="2"/>
      <c r="D608"/>
      <c r="E608"/>
      <c r="F608"/>
      <c r="G608" s="41"/>
      <c r="H608" s="68"/>
      <c r="I608" s="41"/>
      <c r="J608"/>
    </row>
    <row r="609" spans="1:10" s="58" customFormat="1">
      <c r="A609" s="34"/>
      <c r="B609" s="2"/>
      <c r="D609"/>
      <c r="E609"/>
      <c r="F609"/>
      <c r="G609" s="41"/>
      <c r="H609" s="68"/>
      <c r="I609" s="41"/>
      <c r="J609"/>
    </row>
    <row r="610" spans="1:10" s="58" customFormat="1">
      <c r="A610" s="34"/>
      <c r="B610" s="2"/>
      <c r="D610"/>
      <c r="E610"/>
      <c r="F610"/>
      <c r="G610" s="41"/>
      <c r="H610" s="68"/>
      <c r="I610" s="41"/>
      <c r="J610"/>
    </row>
    <row r="611" spans="1:10" s="58" customFormat="1">
      <c r="A611" s="34"/>
      <c r="B611" s="2"/>
      <c r="D611"/>
      <c r="E611"/>
      <c r="F611"/>
      <c r="G611" s="41"/>
      <c r="H611" s="68"/>
      <c r="I611" s="41"/>
      <c r="J611"/>
    </row>
    <row r="612" spans="1:10" s="58" customFormat="1">
      <c r="A612" s="34"/>
      <c r="B612" s="2"/>
      <c r="D612"/>
      <c r="E612"/>
      <c r="F612"/>
      <c r="G612" s="41"/>
      <c r="H612" s="68"/>
      <c r="I612" s="41"/>
      <c r="J612"/>
    </row>
    <row r="613" spans="1:10" s="58" customFormat="1">
      <c r="A613" s="34"/>
      <c r="B613" s="2"/>
      <c r="D613"/>
      <c r="E613"/>
      <c r="F613"/>
      <c r="G613" s="41"/>
      <c r="H613" s="68"/>
      <c r="I613" s="41"/>
      <c r="J613"/>
    </row>
    <row r="614" spans="1:10" s="58" customFormat="1">
      <c r="A614" s="34"/>
      <c r="B614" s="2"/>
      <c r="D614"/>
      <c r="E614"/>
      <c r="F614"/>
      <c r="G614" s="41"/>
      <c r="H614" s="68"/>
      <c r="I614" s="41"/>
      <c r="J614"/>
    </row>
    <row r="615" spans="1:10" s="58" customFormat="1">
      <c r="A615" s="34"/>
      <c r="B615" s="2"/>
      <c r="D615"/>
      <c r="E615"/>
      <c r="F615"/>
      <c r="G615" s="41"/>
      <c r="H615" s="68"/>
      <c r="I615" s="41"/>
      <c r="J615"/>
    </row>
    <row r="616" spans="1:10" s="58" customFormat="1">
      <c r="A616" s="34"/>
      <c r="B616" s="2"/>
      <c r="D616"/>
      <c r="E616"/>
      <c r="F616"/>
      <c r="G616" s="41"/>
      <c r="H616" s="68"/>
      <c r="I616" s="41"/>
      <c r="J616"/>
    </row>
    <row r="617" spans="1:10" s="58" customFormat="1">
      <c r="A617" s="34"/>
      <c r="B617" s="2"/>
      <c r="D617"/>
      <c r="E617"/>
      <c r="F617"/>
      <c r="G617" s="41"/>
      <c r="H617" s="68"/>
      <c r="I617" s="41"/>
      <c r="J617"/>
    </row>
    <row r="618" spans="1:10" s="58" customFormat="1">
      <c r="A618" s="34"/>
      <c r="B618" s="2"/>
      <c r="D618"/>
      <c r="E618"/>
      <c r="F618"/>
      <c r="G618" s="41"/>
      <c r="H618" s="68"/>
      <c r="I618" s="41"/>
      <c r="J618"/>
    </row>
    <row r="619" spans="1:10" s="58" customFormat="1">
      <c r="A619" s="34"/>
      <c r="B619" s="2"/>
      <c r="D619"/>
      <c r="E619"/>
      <c r="F619"/>
      <c r="G619" s="41"/>
      <c r="H619" s="68"/>
      <c r="I619" s="41"/>
      <c r="J619"/>
    </row>
    <row r="620" spans="1:10" s="58" customFormat="1">
      <c r="A620" s="34"/>
      <c r="B620" s="2"/>
      <c r="D620"/>
      <c r="E620"/>
      <c r="F620"/>
      <c r="G620" s="41"/>
      <c r="H620" s="68"/>
      <c r="I620" s="41"/>
      <c r="J620"/>
    </row>
    <row r="621" spans="1:10" s="58" customFormat="1">
      <c r="A621" s="34"/>
      <c r="B621" s="2"/>
      <c r="D621"/>
      <c r="E621"/>
      <c r="F621"/>
      <c r="G621" s="41"/>
      <c r="H621" s="68"/>
      <c r="I621" s="41"/>
      <c r="J621"/>
    </row>
    <row r="622" spans="1:10" s="58" customFormat="1">
      <c r="A622" s="34"/>
      <c r="B622" s="2"/>
      <c r="D622"/>
      <c r="E622"/>
      <c r="F622"/>
      <c r="G622" s="41"/>
      <c r="H622" s="68"/>
      <c r="I622" s="41"/>
      <c r="J622"/>
    </row>
    <row r="623" spans="1:10" s="58" customFormat="1">
      <c r="A623" s="34"/>
      <c r="B623" s="2"/>
      <c r="D623"/>
      <c r="E623"/>
      <c r="F623"/>
      <c r="G623" s="41"/>
      <c r="H623" s="68"/>
      <c r="I623" s="41"/>
      <c r="J623"/>
    </row>
    <row r="624" spans="1:10" s="58" customFormat="1">
      <c r="A624" s="34"/>
      <c r="B624" s="2"/>
      <c r="D624"/>
      <c r="E624"/>
      <c r="F624"/>
      <c r="G624" s="41"/>
      <c r="H624" s="68"/>
      <c r="I624" s="41"/>
      <c r="J624"/>
    </row>
    <row r="625" spans="1:10" s="58" customFormat="1">
      <c r="A625" s="34"/>
      <c r="B625" s="2"/>
      <c r="D625"/>
      <c r="E625"/>
      <c r="F625"/>
      <c r="G625" s="41"/>
      <c r="H625" s="68"/>
      <c r="I625" s="41"/>
      <c r="J625"/>
    </row>
    <row r="626" spans="1:10" s="58" customFormat="1">
      <c r="A626" s="34"/>
      <c r="B626" s="2"/>
      <c r="D626"/>
      <c r="E626"/>
      <c r="F626"/>
      <c r="G626" s="41"/>
      <c r="H626" s="68"/>
      <c r="I626" s="41"/>
      <c r="J626"/>
    </row>
    <row r="627" spans="1:10" s="58" customFormat="1">
      <c r="A627" s="34"/>
      <c r="B627" s="2"/>
      <c r="D627"/>
      <c r="E627"/>
      <c r="F627"/>
      <c r="G627" s="41"/>
      <c r="H627" s="68"/>
      <c r="I627" s="41"/>
      <c r="J627"/>
    </row>
    <row r="628" spans="1:10" s="58" customFormat="1">
      <c r="A628" s="34"/>
      <c r="B628" s="2"/>
      <c r="D628"/>
      <c r="E628"/>
      <c r="F628"/>
      <c r="G628" s="41"/>
      <c r="H628" s="68"/>
      <c r="I628" s="41"/>
      <c r="J628"/>
    </row>
    <row r="629" spans="1:10" s="58" customFormat="1">
      <c r="A629" s="34"/>
      <c r="B629" s="2"/>
      <c r="D629"/>
      <c r="E629"/>
      <c r="F629"/>
      <c r="G629" s="41"/>
      <c r="H629" s="68"/>
      <c r="I629" s="41"/>
      <c r="J629"/>
    </row>
    <row r="630" spans="1:10" s="58" customFormat="1">
      <c r="A630" s="34"/>
      <c r="B630" s="2"/>
      <c r="D630"/>
      <c r="E630"/>
      <c r="F630"/>
      <c r="G630" s="41"/>
      <c r="H630" s="68"/>
      <c r="I630" s="41"/>
      <c r="J630"/>
    </row>
    <row r="631" spans="1:10" s="34" customFormat="1">
      <c r="B631" s="2"/>
      <c r="C631" s="58"/>
      <c r="D631"/>
      <c r="E631"/>
      <c r="F631"/>
      <c r="G631" s="41"/>
      <c r="H631" s="68"/>
      <c r="I631" s="41"/>
      <c r="J631"/>
    </row>
    <row r="632" spans="1:10" s="34" customFormat="1">
      <c r="B632" s="2"/>
      <c r="C632" s="58"/>
      <c r="D632"/>
      <c r="E632"/>
      <c r="F632"/>
      <c r="G632" s="41"/>
      <c r="H632" s="68"/>
      <c r="I632" s="41"/>
      <c r="J632"/>
    </row>
    <row r="633" spans="1:10" s="34" customFormat="1">
      <c r="B633" s="2"/>
      <c r="C633" s="58"/>
      <c r="D633"/>
      <c r="E633"/>
      <c r="F633"/>
      <c r="G633" s="41"/>
      <c r="H633" s="68"/>
      <c r="I633" s="41"/>
      <c r="J633"/>
    </row>
    <row r="634" spans="1:10" s="34" customFormat="1">
      <c r="B634" s="2"/>
      <c r="C634" s="58"/>
      <c r="D634"/>
      <c r="E634"/>
      <c r="F634"/>
      <c r="G634" s="41"/>
      <c r="H634" s="68"/>
      <c r="I634" s="41"/>
      <c r="J634"/>
    </row>
  </sheetData>
  <sheetProtection sheet="1" objects="1" scenarios="1"/>
  <autoFilter ref="A1:S634"/>
  <phoneticPr fontId="45" type="noConversion"/>
  <pageMargins left="0.511811024" right="0.511811024" top="0.78740157499999996" bottom="0.78740157499999996" header="0.31496062000000002" footer="0.31496062000000002"/>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
  <dimension ref="A1:J36"/>
  <sheetViews>
    <sheetView showGridLines="0" workbookViewId="0">
      <selection activeCell="A21" sqref="A21"/>
    </sheetView>
  </sheetViews>
  <sheetFormatPr defaultRowHeight="15"/>
  <cols>
    <col min="1" max="1" width="70.42578125" customWidth="1"/>
    <col min="5" max="5" width="59.85546875" customWidth="1"/>
    <col min="6" max="6" width="9.85546875" customWidth="1"/>
    <col min="7" max="7" width="13" style="2" customWidth="1"/>
    <col min="10" max="10" width="60.42578125" bestFit="1" customWidth="1"/>
  </cols>
  <sheetData>
    <row r="1" spans="1:10">
      <c r="A1" s="448"/>
      <c r="D1" s="448"/>
      <c r="E1" s="448"/>
      <c r="F1" s="448"/>
      <c r="G1" s="448"/>
      <c r="I1" s="448"/>
      <c r="J1" s="448"/>
    </row>
    <row r="2" spans="1:10">
      <c r="A2" s="446" t="s">
        <v>582</v>
      </c>
      <c r="D2" s="387" t="str">
        <f t="shared" ref="D2:D29" si="0">IF(AND(G2&gt;0,ISNUMBER(G2)),ROW(),"")</f>
        <v/>
      </c>
      <c r="E2" s="387" t="str">
        <f>Produtividade!C195</f>
        <v>2.1 - Áreas internas</v>
      </c>
      <c r="F2" s="387"/>
      <c r="G2" s="394" t="str">
        <f>IFERROR(INDEX(Produtividade!L:L,MATCH(E2,Produtividade!C:C,0)),"")</f>
        <v>Área contratada</v>
      </c>
      <c r="I2" s="387" t="str">
        <f>IFERROR(SMALL(D:D,ROW()-1),"")</f>
        <v/>
      </c>
      <c r="J2" s="387" t="str">
        <f t="shared" ref="J2:J19" si="1">IF($I2="","",INDEX(E:E,MATCH($I2,$D:$D,0)))</f>
        <v/>
      </c>
    </row>
    <row r="3" spans="1:10">
      <c r="A3" s="446" t="s">
        <v>583</v>
      </c>
      <c r="D3" s="387" t="str">
        <f t="shared" si="0"/>
        <v/>
      </c>
      <c r="E3" s="387" t="str">
        <f>Produtividade!C196</f>
        <v>Pisos acarpetados</v>
      </c>
      <c r="F3" s="387" t="s">
        <v>354</v>
      </c>
      <c r="G3" s="394">
        <f>IFERROR(INDEX(Produtividade!L:L,MATCH(E3,Produtividade!C:C,0)),"")</f>
        <v>0</v>
      </c>
      <c r="I3" s="387" t="str">
        <f t="shared" ref="I3:I19" si="2">IFERROR(SMALL(D:D,ROW()-1),"")</f>
        <v/>
      </c>
      <c r="J3" s="387" t="str">
        <f t="shared" si="1"/>
        <v/>
      </c>
    </row>
    <row r="4" spans="1:10">
      <c r="A4" s="446" t="s">
        <v>584</v>
      </c>
      <c r="D4" s="387" t="str">
        <f t="shared" si="0"/>
        <v/>
      </c>
      <c r="E4" s="387" t="str">
        <f>Produtividade!C197</f>
        <v>Pisos Frios</v>
      </c>
      <c r="F4" s="387" t="s">
        <v>354</v>
      </c>
      <c r="G4" s="394">
        <f>IFERROR(INDEX(Produtividade!L:L,MATCH(E4,Produtividade!C:C,0)),"")</f>
        <v>0</v>
      </c>
      <c r="I4" s="387" t="str">
        <f t="shared" si="2"/>
        <v/>
      </c>
      <c r="J4" s="387" t="str">
        <f t="shared" si="1"/>
        <v/>
      </c>
    </row>
    <row r="5" spans="1:10">
      <c r="A5" s="446" t="s">
        <v>585</v>
      </c>
      <c r="D5" s="387" t="str">
        <f t="shared" si="0"/>
        <v/>
      </c>
      <c r="E5" s="387" t="str">
        <f>Produtividade!C198</f>
        <v>Laboratoriais</v>
      </c>
      <c r="F5" s="387" t="s">
        <v>354</v>
      </c>
      <c r="G5" s="394">
        <f>IFERROR(INDEX(Produtividade!L:L,MATCH(E5,Produtividade!C:C,0)),"")</f>
        <v>0</v>
      </c>
      <c r="I5" s="387" t="str">
        <f t="shared" si="2"/>
        <v/>
      </c>
      <c r="J5" s="387" t="str">
        <f t="shared" si="1"/>
        <v/>
      </c>
    </row>
    <row r="6" spans="1:10">
      <c r="A6" s="446" t="s">
        <v>586</v>
      </c>
      <c r="D6" s="387" t="str">
        <f t="shared" si="0"/>
        <v/>
      </c>
      <c r="E6" s="387" t="str">
        <f>Produtividade!C199</f>
        <v>Almoxarifados/galpões</v>
      </c>
      <c r="F6" s="387" t="s">
        <v>354</v>
      </c>
      <c r="G6" s="394">
        <f>IFERROR(INDEX(Produtividade!L:L,MATCH(E6,Produtividade!C:C,0)),"")</f>
        <v>0</v>
      </c>
      <c r="I6" s="387" t="str">
        <f t="shared" si="2"/>
        <v/>
      </c>
      <c r="J6" s="387" t="str">
        <f t="shared" si="1"/>
        <v/>
      </c>
    </row>
    <row r="7" spans="1:10">
      <c r="A7" s="446" t="s">
        <v>587</v>
      </c>
      <c r="D7" s="387" t="str">
        <f t="shared" si="0"/>
        <v/>
      </c>
      <c r="E7" s="387" t="str">
        <f>Produtividade!C200</f>
        <v>Oficinas</v>
      </c>
      <c r="F7" s="387" t="s">
        <v>354</v>
      </c>
      <c r="G7" s="394">
        <f>IFERROR(INDEX(Produtividade!L:L,MATCH(E7,Produtividade!C:C,0)),"")</f>
        <v>0</v>
      </c>
      <c r="I7" s="387" t="str">
        <f t="shared" si="2"/>
        <v/>
      </c>
      <c r="J7" s="387" t="str">
        <f t="shared" si="1"/>
        <v/>
      </c>
    </row>
    <row r="8" spans="1:10">
      <c r="A8" s="446" t="s">
        <v>588</v>
      </c>
      <c r="D8" s="387" t="str">
        <f t="shared" si="0"/>
        <v/>
      </c>
      <c r="E8" s="387" t="str">
        <f>Produtividade!C201</f>
        <v>Áreas com espaços livres - saguão, hall e salão</v>
      </c>
      <c r="F8" s="387" t="s">
        <v>354</v>
      </c>
      <c r="G8" s="394">
        <f>IFERROR(INDEX(Produtividade!L:L,MATCH(E8,Produtividade!C:C,0)),"")</f>
        <v>0</v>
      </c>
      <c r="I8" s="387" t="str">
        <f t="shared" si="2"/>
        <v/>
      </c>
      <c r="J8" s="387" t="str">
        <f t="shared" si="1"/>
        <v/>
      </c>
    </row>
    <row r="9" spans="1:10">
      <c r="A9" s="446" t="s">
        <v>589</v>
      </c>
      <c r="D9" s="387" t="str">
        <f t="shared" si="0"/>
        <v/>
      </c>
      <c r="E9" s="387" t="str">
        <f>Produtividade!C202</f>
        <v>Banheiros</v>
      </c>
      <c r="F9" s="387" t="s">
        <v>354</v>
      </c>
      <c r="G9" s="394">
        <f>IFERROR(INDEX(Produtividade!L:L,MATCH(E9,Produtividade!C:C,0)),"")</f>
        <v>0</v>
      </c>
      <c r="I9" s="387" t="str">
        <f t="shared" si="2"/>
        <v/>
      </c>
      <c r="J9" s="387" t="str">
        <f t="shared" si="1"/>
        <v/>
      </c>
    </row>
    <row r="10" spans="1:10">
      <c r="A10" s="446" t="s">
        <v>590</v>
      </c>
      <c r="D10" s="387" t="str">
        <f t="shared" si="0"/>
        <v/>
      </c>
      <c r="E10" s="387">
        <f>Produtividade!C203</f>
        <v>0</v>
      </c>
      <c r="F10" s="387"/>
      <c r="G10" s="394" t="str">
        <f>IFERROR(INDEX(Produtividade!L:L,MATCH(E10,Produtividade!C:C,0)),"")</f>
        <v/>
      </c>
      <c r="I10" s="387" t="str">
        <f t="shared" si="2"/>
        <v/>
      </c>
      <c r="J10" s="387" t="str">
        <f t="shared" si="1"/>
        <v/>
      </c>
    </row>
    <row r="11" spans="1:10">
      <c r="A11" s="446" t="s">
        <v>591</v>
      </c>
      <c r="D11" s="387" t="str">
        <f t="shared" si="0"/>
        <v/>
      </c>
      <c r="E11" s="387" t="str">
        <f>Produtividade!C204</f>
        <v>2.2 - Áreas externas</v>
      </c>
      <c r="F11" s="387"/>
      <c r="G11" s="394">
        <f>IFERROR(INDEX(Produtividade!L:L,MATCH(E11,Produtividade!C:C,0)),"")</f>
        <v>0</v>
      </c>
      <c r="I11" s="387" t="str">
        <f t="shared" si="2"/>
        <v/>
      </c>
      <c r="J11" s="387" t="str">
        <f t="shared" si="1"/>
        <v/>
      </c>
    </row>
    <row r="12" spans="1:10">
      <c r="A12" s="446" t="s">
        <v>592</v>
      </c>
      <c r="D12" s="387" t="str">
        <f t="shared" si="0"/>
        <v/>
      </c>
      <c r="E12" s="387" t="str">
        <f>Produtividade!C205</f>
        <v>Pisos pavimentados adjacentes/contíguos às edificações</v>
      </c>
      <c r="F12" s="387" t="s">
        <v>355</v>
      </c>
      <c r="G12" s="394">
        <f>IFERROR(INDEX(Produtividade!L:L,MATCH(E12,Produtividade!C:C,0)),"")</f>
        <v>0</v>
      </c>
      <c r="I12" s="387" t="str">
        <f t="shared" si="2"/>
        <v/>
      </c>
      <c r="J12" s="387" t="str">
        <f t="shared" si="1"/>
        <v/>
      </c>
    </row>
    <row r="13" spans="1:10">
      <c r="A13" s="446" t="s">
        <v>593</v>
      </c>
      <c r="D13" s="387" t="str">
        <f t="shared" si="0"/>
        <v/>
      </c>
      <c r="E13" s="387" t="str">
        <f>Produtividade!C206</f>
        <v>Varrição de passeios e arruamentos</v>
      </c>
      <c r="F13" s="387" t="s">
        <v>355</v>
      </c>
      <c r="G13" s="394">
        <f>IFERROR(INDEX(Produtividade!L:L,MATCH(E13,Produtividade!C:C,0)),"")</f>
        <v>0</v>
      </c>
      <c r="I13" s="387" t="str">
        <f t="shared" si="2"/>
        <v/>
      </c>
      <c r="J13" s="387" t="str">
        <f t="shared" si="1"/>
        <v/>
      </c>
    </row>
    <row r="14" spans="1:10">
      <c r="A14" s="446" t="s">
        <v>594</v>
      </c>
      <c r="D14" s="387" t="str">
        <f t="shared" si="0"/>
        <v/>
      </c>
      <c r="E14" s="387" t="str">
        <f>Produtividade!C207</f>
        <v>Pátios e áreas verdes com alta frequência (semanal)</v>
      </c>
      <c r="F14" s="387" t="s">
        <v>355</v>
      </c>
      <c r="G14" s="394">
        <f>IFERROR(INDEX(Produtividade!L:L,MATCH(E14,Produtividade!C:C,0)),"")</f>
        <v>0</v>
      </c>
      <c r="I14" s="387" t="str">
        <f t="shared" si="2"/>
        <v/>
      </c>
      <c r="J14" s="387" t="str">
        <f t="shared" si="1"/>
        <v/>
      </c>
    </row>
    <row r="15" spans="1:10">
      <c r="A15" s="446" t="s">
        <v>595</v>
      </c>
      <c r="D15" s="387" t="str">
        <f t="shared" si="0"/>
        <v/>
      </c>
      <c r="E15" s="387" t="str">
        <f>Produtividade!C208</f>
        <v>Pátios e áreas verdes com média frequência (quinzenal)</v>
      </c>
      <c r="F15" s="387" t="s">
        <v>355</v>
      </c>
      <c r="G15" s="394">
        <f>IFERROR(INDEX(Produtividade!L:L,MATCH(E15,Produtividade!C:C,0)),"")</f>
        <v>0</v>
      </c>
      <c r="I15" s="387" t="str">
        <f t="shared" si="2"/>
        <v/>
      </c>
      <c r="J15" s="387" t="str">
        <f t="shared" si="1"/>
        <v/>
      </c>
    </row>
    <row r="16" spans="1:10">
      <c r="A16" s="446" t="s">
        <v>596</v>
      </c>
      <c r="D16" s="387" t="str">
        <f t="shared" si="0"/>
        <v/>
      </c>
      <c r="E16" s="387" t="str">
        <f>Produtividade!C209</f>
        <v>Pátios e áreas verdes com baixa frequência (mensal)</v>
      </c>
      <c r="F16" s="387" t="s">
        <v>355</v>
      </c>
      <c r="G16" s="394">
        <f>IFERROR(INDEX(Produtividade!L:L,MATCH(E16,Produtividade!C:C,0)),"")</f>
        <v>0</v>
      </c>
      <c r="I16" s="387" t="str">
        <f t="shared" si="2"/>
        <v/>
      </c>
      <c r="J16" s="387" t="str">
        <f t="shared" si="1"/>
        <v/>
      </c>
    </row>
    <row r="17" spans="1:10">
      <c r="A17" s="446" t="s">
        <v>597</v>
      </c>
      <c r="D17" s="387" t="str">
        <f t="shared" si="0"/>
        <v/>
      </c>
      <c r="E17" s="387" t="str">
        <f>Produtividade!C210</f>
        <v>Coleta de detritos em pátios e áreas verdes com frequência diária</v>
      </c>
      <c r="F17" s="387" t="s">
        <v>355</v>
      </c>
      <c r="G17" s="394">
        <f>IFERROR(INDEX(Produtividade!L:L,MATCH(E17,Produtividade!C:C,0)),"")</f>
        <v>0</v>
      </c>
      <c r="I17" s="387" t="str">
        <f t="shared" si="2"/>
        <v/>
      </c>
      <c r="J17" s="387" t="str">
        <f t="shared" si="1"/>
        <v/>
      </c>
    </row>
    <row r="18" spans="1:10">
      <c r="A18" s="446" t="s">
        <v>598</v>
      </c>
      <c r="D18" s="387" t="str">
        <f t="shared" si="0"/>
        <v/>
      </c>
      <c r="E18" s="387">
        <f>Produtividade!C211</f>
        <v>0</v>
      </c>
      <c r="F18" s="387"/>
      <c r="G18" s="394" t="str">
        <f>IFERROR(INDEX(Produtividade!L:L,MATCH(E18,Produtividade!C:C,0)),"")</f>
        <v/>
      </c>
      <c r="I18" s="387" t="str">
        <f t="shared" si="2"/>
        <v/>
      </c>
      <c r="J18" s="387" t="str">
        <f t="shared" si="1"/>
        <v/>
      </c>
    </row>
    <row r="19" spans="1:10">
      <c r="A19" s="446" t="s">
        <v>599</v>
      </c>
      <c r="D19" s="387" t="str">
        <f t="shared" si="0"/>
        <v/>
      </c>
      <c r="E19" s="387" t="str">
        <f>Produtividade!C212</f>
        <v>2.3 - Esquadrias externas</v>
      </c>
      <c r="F19" s="387"/>
      <c r="G19" s="394">
        <f>IFERROR(INDEX(Produtividade!L:L,MATCH(E19,Produtividade!C:C,0)),"")</f>
        <v>0</v>
      </c>
      <c r="I19" s="387" t="str">
        <f t="shared" si="2"/>
        <v/>
      </c>
      <c r="J19" s="387" t="str">
        <f t="shared" si="1"/>
        <v/>
      </c>
    </row>
    <row r="20" spans="1:10">
      <c r="A20" s="446" t="s">
        <v>600</v>
      </c>
      <c r="D20" s="387" t="str">
        <f t="shared" si="0"/>
        <v/>
      </c>
      <c r="E20" s="387" t="str">
        <f>Produtividade!C213</f>
        <v>Face externa com exposição a situação de risco (trimestral)</v>
      </c>
      <c r="F20" s="387" t="s">
        <v>382</v>
      </c>
      <c r="G20" s="394">
        <f>IFERROR(INDEX(Produtividade!L:L,MATCH(E20,Produtividade!C:C,0)),"")</f>
        <v>0</v>
      </c>
      <c r="I20" t="str">
        <f t="shared" ref="I20:I25" si="3">IFERROR(SMALL(D:D,ROW()-1),"")</f>
        <v/>
      </c>
      <c r="J20" t="str">
        <f t="shared" ref="J20:J25" si="4">IF($I20="","",INDEX(E:E,MATCH($I20,$D:$D,0)))</f>
        <v/>
      </c>
    </row>
    <row r="21" spans="1:10">
      <c r="A21" s="446" t="s">
        <v>601</v>
      </c>
      <c r="D21" s="387" t="str">
        <f t="shared" si="0"/>
        <v/>
      </c>
      <c r="E21" s="387" t="str">
        <f>Produtividade!C214</f>
        <v>Face externa - sem exposição a situação de risco (trimestral)</v>
      </c>
      <c r="F21" s="387" t="s">
        <v>382</v>
      </c>
      <c r="G21" s="394">
        <f>IFERROR(INDEX(Produtividade!L:L,MATCH(E21,Produtividade!C:C,0)),"")</f>
        <v>0</v>
      </c>
      <c r="I21" t="str">
        <f t="shared" si="3"/>
        <v/>
      </c>
      <c r="J21" t="str">
        <f t="shared" si="4"/>
        <v/>
      </c>
    </row>
    <row r="22" spans="1:10">
      <c r="A22" s="446" t="s">
        <v>609</v>
      </c>
      <c r="D22" s="387" t="str">
        <f t="shared" si="0"/>
        <v/>
      </c>
      <c r="E22" s="387" t="str">
        <f>Produtividade!C215</f>
        <v>Face interna - sem exposição a situação de risco (quinzenal)</v>
      </c>
      <c r="F22" s="387" t="s">
        <v>382</v>
      </c>
      <c r="G22" s="394">
        <f>IFERROR(INDEX(Produtividade!L:L,MATCH(E22,Produtividade!C:C,0)),"")</f>
        <v>0</v>
      </c>
      <c r="I22" t="str">
        <f t="shared" si="3"/>
        <v/>
      </c>
      <c r="J22" t="str">
        <f t="shared" si="4"/>
        <v/>
      </c>
    </row>
    <row r="23" spans="1:10">
      <c r="A23" s="446" t="s">
        <v>602</v>
      </c>
      <c r="D23" s="387" t="str">
        <f t="shared" si="0"/>
        <v/>
      </c>
      <c r="E23" s="387">
        <f>Produtividade!C216</f>
        <v>0</v>
      </c>
      <c r="F23" s="387"/>
      <c r="G23" s="394" t="str">
        <f>IFERROR(INDEX(Produtividade!L:L,MATCH(E23,Produtividade!C:C,0)),"")</f>
        <v/>
      </c>
      <c r="I23" t="str">
        <f t="shared" si="3"/>
        <v/>
      </c>
      <c r="J23" t="str">
        <f t="shared" si="4"/>
        <v/>
      </c>
    </row>
    <row r="24" spans="1:10">
      <c r="A24" s="446" t="s">
        <v>603</v>
      </c>
      <c r="D24" s="387" t="str">
        <f t="shared" si="0"/>
        <v/>
      </c>
      <c r="E24" s="387" t="str">
        <f>Produtividade!C217</f>
        <v>2.4 - Fachadas</v>
      </c>
      <c r="F24" s="387"/>
      <c r="G24" s="394">
        <f>IFERROR(INDEX(Produtividade!L:L,MATCH(E24,Produtividade!C:C,0)),"")</f>
        <v>0</v>
      </c>
      <c r="I24" t="str">
        <f t="shared" si="3"/>
        <v/>
      </c>
      <c r="J24" t="str">
        <f t="shared" si="4"/>
        <v/>
      </c>
    </row>
    <row r="25" spans="1:10">
      <c r="A25" s="446" t="s">
        <v>604</v>
      </c>
      <c r="D25" s="387" t="str">
        <f t="shared" si="0"/>
        <v/>
      </c>
      <c r="E25" s="387" t="str">
        <f>Produtividade!C218</f>
        <v>Fachadas Envidraçadas (trimestral)</v>
      </c>
      <c r="F25" s="387" t="s">
        <v>383</v>
      </c>
      <c r="G25" s="394">
        <f>IFERROR(INDEX(Produtividade!L:L,MATCH(E25,Produtividade!C:C,0)),"")</f>
        <v>0</v>
      </c>
      <c r="I25" t="str">
        <f t="shared" si="3"/>
        <v/>
      </c>
      <c r="J25" t="str">
        <f t="shared" si="4"/>
        <v/>
      </c>
    </row>
    <row r="26" spans="1:10">
      <c r="A26" s="446" t="s">
        <v>605</v>
      </c>
      <c r="D26" s="387" t="str">
        <f t="shared" si="0"/>
        <v/>
      </c>
      <c r="E26" s="387">
        <f>Produtividade!C219</f>
        <v>0</v>
      </c>
      <c r="F26" s="387"/>
      <c r="G26" s="394" t="str">
        <f>IFERROR(INDEX(Produtividade!L:L,MATCH(E26,Produtividade!C:C,0)),"")</f>
        <v/>
      </c>
      <c r="I26" t="str">
        <f>IFERROR(SMALL(D:D,ROW()-1),"")</f>
        <v/>
      </c>
      <c r="J26" t="str">
        <f>IF($I26="","",INDEX(E:E,MATCH($I26,$D:$D,0)))</f>
        <v/>
      </c>
    </row>
    <row r="27" spans="1:10">
      <c r="A27" s="446" t="s">
        <v>606</v>
      </c>
      <c r="D27" s="387" t="str">
        <f t="shared" si="0"/>
        <v/>
      </c>
      <c r="E27" s="387" t="str">
        <f>Produtividade!C220</f>
        <v>2.5 - Áreas Hospitalares</v>
      </c>
      <c r="F27" s="387"/>
      <c r="G27" s="394">
        <f>IFERROR(INDEX(Produtividade!L:L,MATCH(E27,Produtividade!C:C,0)),"")</f>
        <v>0</v>
      </c>
      <c r="I27" t="str">
        <f>IFERROR(SMALL(D:D,ROW()-1),"")</f>
        <v/>
      </c>
      <c r="J27" t="str">
        <f>IF($I27="","",INDEX(E:E,MATCH($I27,$D:$D,0)))</f>
        <v/>
      </c>
    </row>
    <row r="28" spans="1:10">
      <c r="A28" s="446" t="s">
        <v>607</v>
      </c>
      <c r="D28" s="387" t="str">
        <f t="shared" si="0"/>
        <v/>
      </c>
      <c r="E28" s="387" t="str">
        <f>Produtividade!C221</f>
        <v>Áreas Hospitalares e assemelhadas</v>
      </c>
      <c r="F28" s="387" t="s">
        <v>384</v>
      </c>
      <c r="G28" s="394">
        <f>IFERROR(INDEX(Produtividade!L:L,MATCH(E28,Produtividade!C:C,0)),"")</f>
        <v>0</v>
      </c>
      <c r="I28" t="str">
        <f>IFERROR(SMALL(D:D,ROW()-1),"")</f>
        <v/>
      </c>
      <c r="J28" t="str">
        <f>IF($I28="","",INDEX(E:E,MATCH($I28,$D:$D,0)))</f>
        <v/>
      </c>
    </row>
    <row r="29" spans="1:10">
      <c r="A29" s="446" t="s">
        <v>608</v>
      </c>
      <c r="D29" s="387" t="str">
        <f t="shared" si="0"/>
        <v/>
      </c>
      <c r="E29" s="387">
        <f>Produtividade!C222</f>
        <v>0</v>
      </c>
      <c r="F29" s="387"/>
      <c r="G29" s="394" t="str">
        <f>IFERROR(INDEX(Produtividade!L:L,MATCH(E29,Produtividade!C:C,0)),"")</f>
        <v/>
      </c>
      <c r="I29" t="str">
        <f>IFERROR(SMALL(D:D,ROW()-1),"")</f>
        <v/>
      </c>
      <c r="J29" t="str">
        <f>IF($I29="","",INDEX(E:E,MATCH($I29,$D:$D,0)))</f>
        <v/>
      </c>
    </row>
    <row r="30" spans="1:10">
      <c r="A30" s="446"/>
      <c r="G30"/>
    </row>
    <row r="31" spans="1:10">
      <c r="A31" s="446"/>
      <c r="G31"/>
    </row>
    <row r="32" spans="1:10">
      <c r="A32" s="446"/>
      <c r="G32"/>
    </row>
    <row r="33" spans="1:1">
      <c r="A33" s="446"/>
    </row>
    <row r="34" spans="1:1">
      <c r="A34" s="446"/>
    </row>
    <row r="35" spans="1:1">
      <c r="A35" s="446"/>
    </row>
    <row r="36" spans="1:1">
      <c r="A36" s="447"/>
    </row>
  </sheetData>
  <sheetProtection algorithmName="SHA-512" hashValue="2h2Z47eY6LcwiAz8+4MEgCLeT/2LdlcYIVBq78faj2me0nEskC6nSuOpAKjoxZr4B3HaR9D4CUHSl3o2Bu0tPA==" saltValue="TDVjbv9hfh5Oqhod+M7/lw==" spinCount="100000" sheet="1" objects="1" scenarios="1"/>
  <conditionalFormatting sqref="G2:G29">
    <cfRule type="expression" dxfId="0" priority="1">
      <formula>$H$5=1</formula>
    </cfRule>
  </conditionalFormatting>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2</vt:i4>
      </vt:variant>
    </vt:vector>
  </HeadingPairs>
  <TitlesOfParts>
    <vt:vector size="14" baseType="lpstr">
      <vt:lpstr>Mão de Obra</vt:lpstr>
      <vt:lpstr>Mat Individual e Uniformes</vt:lpstr>
      <vt:lpstr>Apoio - Uniforme e EPIs</vt:lpstr>
      <vt:lpstr>Mat Coletivo e Equipamentos</vt:lpstr>
      <vt:lpstr>Apoio - Mat Coletivo e Equip</vt:lpstr>
      <vt:lpstr>Veículos</vt:lpstr>
      <vt:lpstr>Produtividade</vt:lpstr>
      <vt:lpstr>Proposta</vt:lpstr>
      <vt:lpstr>Apoio - Regime de Trabalho</vt:lpstr>
      <vt:lpstr>Apoio - Notas Explicativas</vt:lpstr>
      <vt:lpstr>Apoio - Posto</vt:lpstr>
      <vt:lpstr>Apoio - Dados</vt:lpstr>
      <vt:lpstr>'Mão de Obra'!Area_de_impressao</vt:lpstr>
      <vt:lpstr>Produtividade!Area_de_impressao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Machry</dc:creator>
  <cp:lastModifiedBy>Diego Rocha Machado</cp:lastModifiedBy>
  <cp:lastPrinted>2023-11-16T17:30:01Z</cp:lastPrinted>
  <dcterms:created xsi:type="dcterms:W3CDTF">2015-06-05T18:19:34Z</dcterms:created>
  <dcterms:modified xsi:type="dcterms:W3CDTF">2026-07-08T17:28:28Z</dcterms:modified>
</cp:coreProperties>
</file>