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_de_trabalho" defaultThemeVersion="124226"/>
  <bookViews>
    <workbookView xWindow="0" yWindow="0" windowWidth="21600" windowHeight="9615"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S21" i="2" l="1"/>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s="1"/>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U8" i="12" s="1"/>
  <c r="AJ8" i="12"/>
  <c r="AD8" i="12"/>
  <c r="Z8" i="12"/>
  <c r="N8" i="12"/>
  <c r="AB8" i="12"/>
  <c r="AF8" i="12"/>
  <c r="F9" i="11"/>
  <c r="H9" i="11"/>
  <c r="L9" i="11"/>
  <c r="I9" i="11"/>
  <c r="B10" i="11"/>
  <c r="G9" i="11"/>
  <c r="I9" i="12"/>
  <c r="G9" i="12"/>
  <c r="H9" i="12"/>
  <c r="B10" i="12"/>
  <c r="F9" i="12"/>
  <c r="Q8" i="12" l="1"/>
  <c r="W8" i="12"/>
  <c r="O8" i="12"/>
  <c r="Y8" i="12"/>
  <c r="AG8" i="12"/>
  <c r="AC8" i="12"/>
  <c r="AK8" i="12"/>
  <c r="AE8" i="12"/>
  <c r="AA8" i="12"/>
  <c r="AI8" i="12"/>
  <c r="S8" i="12"/>
  <c r="D10" i="12"/>
  <c r="C10" i="12"/>
  <c r="D10" i="11"/>
  <c r="C10" i="11"/>
  <c r="K9" i="12"/>
  <c r="L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Z9" i="12" l="1"/>
  <c r="AA9" i="12" s="1"/>
  <c r="R9" i="12"/>
  <c r="S9" i="12" s="1"/>
  <c r="AB9" i="12"/>
  <c r="AH9" i="12"/>
  <c r="P9" i="12"/>
  <c r="T9" i="12"/>
  <c r="U9" i="12" s="1"/>
  <c r="AF9" i="12"/>
  <c r="N9" i="12"/>
  <c r="O9" i="12" s="1"/>
  <c r="X9" i="12"/>
  <c r="AJ9" i="12"/>
  <c r="AD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V12" i="12" s="1"/>
  <c r="Z11" i="12"/>
  <c r="AA11" i="12" s="1"/>
  <c r="C12" i="11"/>
  <c r="D12" i="11"/>
  <c r="AG9" i="12" l="1"/>
  <c r="AE9" i="12"/>
  <c r="Q9" i="12"/>
  <c r="AI9" i="12"/>
  <c r="AK9" i="12"/>
  <c r="AC9" i="12"/>
  <c r="Y9"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D14" i="12" s="1"/>
  <c r="E13" i="12"/>
  <c r="F13" i="12"/>
  <c r="H13" i="12"/>
  <c r="I13" i="12"/>
  <c r="G13" i="12"/>
  <c r="AD13" i="12"/>
  <c r="AE13" i="12" s="1"/>
  <c r="Z13" i="12"/>
  <c r="AA13" i="12" s="1"/>
  <c r="AF13" i="12"/>
  <c r="AG13" i="12" s="1"/>
  <c r="AB13" i="12"/>
  <c r="AC13" i="12" s="1"/>
  <c r="P13" i="12"/>
  <c r="Q13" i="12" s="1"/>
  <c r="X13" i="12"/>
  <c r="Y13" i="12" s="1"/>
  <c r="C14" i="12"/>
  <c r="J14" i="12" s="1"/>
  <c r="U14" i="12" s="1"/>
  <c r="K13" i="12"/>
  <c r="T13" i="12"/>
  <c r="U13" i="12" s="1"/>
  <c r="L13" i="12"/>
  <c r="R13" i="12"/>
  <c r="S13" i="12" s="1"/>
  <c r="V13" i="12"/>
  <c r="W13" i="12" s="1"/>
  <c r="AJ13" i="12"/>
  <c r="AK13" i="12" s="1"/>
  <c r="AH13" i="12"/>
  <c r="AI13" i="12" s="1"/>
  <c r="D13" i="11"/>
  <c r="C13" i="11"/>
  <c r="Z14" i="12" l="1"/>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<sst xmlns="http://schemas.openxmlformats.org/spreadsheetml/2006/main" count="3450" uniqueCount="443">
  <si>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</si>
  <si>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</si>
  <si>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</si>
  <si>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</si>
  <si>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</si>
  <si>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</si>
  <si>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</si>
  <si>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</si>
  <si>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</si>
  <si>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</si>
  <si>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</si>
  <si>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</si>
  <si>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</si>
  <si>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</si>
  <si>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</si>
  <si>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</si>
  <si>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</si>
  <si>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</si>
  <si>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</si>
  <si>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</si>
  <si>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</si>
  <si>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</si>
  <si>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</si>
  <si>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</si>
  <si>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</si>
  <si>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</si>
  <si>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</si>
  <si>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</si>
  <si>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</si>
  <si>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</si>
  <si>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</si>
  <si>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</si>
  <si>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</si>
  <si>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</si>
  <si>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</si>
  <si>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</si>
  <si>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</si>
  <si>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</si>
  <si>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</si>
  <si>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</si>
  <si>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</si>
  <si>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</si>
  <si>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</si>
  <si>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</si>
  <si>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</si>
  <si>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</si>
  <si>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</si>
  <si>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</si>
  <si>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</si>
  <si>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</si>
  <si>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</si>
  <si>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</si>
  <si>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</si>
  <si>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</si>
  <si>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</si>
  <si>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</si>
  <si>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</si>
  <si>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</si>
  <si>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</si>
  <si>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</si>
  <si>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</si>
  <si>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</si>
  <si>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</si>
  <si>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</si>
  <si>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</si>
  <si>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</si>
  <si>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</si>
  <si>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</si>
  <si>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</si>
  <si>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</si>
  <si>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</si>
  <si>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</si>
  <si>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</si>
  <si>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</si>
  <si>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</si>
  <si>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</si>
  <si>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</si>
  <si>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</si>
  <si>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</si>
  <si>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</si>
  <si>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</si>
  <si>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</si>
  <si>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</si>
  <si>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</si>
  <si>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</si>
  <si>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</si>
  <si>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</si>
  <si>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</si>
  <si>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</si>
  <si>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</si>
  <si>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</si>
  <si>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</si>
  <si>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</si>
  <si>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</si>
  <si>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</si>
  <si>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</si>
  <si>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</si>
  <si>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</si>
  <si>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</si>
  <si>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</si>
  <si>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</si>
  <si>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</si>
  <si>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</si>
  <si>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</si>
  <si>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</si>
  <si>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</si>
  <si>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</si>
  <si>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</si>
  <si>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</si>
  <si>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</si>
  <si>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</si>
  <si>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</si>
  <si>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</si>
  <si>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</si>
  <si>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</si>
  <si>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</si>
  <si>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</si>
  <si>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</si>
  <si>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</si>
  <si>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</si>
  <si>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</si>
  <si>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</si>
  <si>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</si>
  <si>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</si>
  <si>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</si>
  <si>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</si>
  <si>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</si>
  <si>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</si>
  <si>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</si>
  <si>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</si>
  <si>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</si>
  <si>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</si>
  <si>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</si>
  <si>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</si>
  <si>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</si>
  <si>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</si>
  <si>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</si>
  <si>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</si>
  <si>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</si>
  <si>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</si>
  <si>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</si>
  <si>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</si>
  <si>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</si>
  <si>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</si>
  <si>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</si>
  <si>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</si>
  <si>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</si>
  <si>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</si>
  <si>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</si>
  <si>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</si>
  <si>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</si>
  <si>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</si>
  <si>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</si>
  <si>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</si>
  <si>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</si>
  <si>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</si>
  <si>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</si>
  <si>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</si>
  <si>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</si>
  <si>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</si>
  <si>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</si>
  <si>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</si>
  <si>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</si>
  <si>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</si>
  <si>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</si>
  <si>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</si>
  <si>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</si>
  <si>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</si>
  <si>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</si>
  <si>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</si>
  <si>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</si>
  <si>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</si>
  <si>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</si>
  <si>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</si>
  <si>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</si>
  <si>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</si>
  <si>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</si>
  <si>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</si>
  <si>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</si>
  <si>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</si>
  <si>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</si>
  <si>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</si>
  <si>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</si>
  <si>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</si>
  <si>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</si>
  <si>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</si>
  <si>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</si>
  <si>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</si>
  <si>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</si>
  <si>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</si>
  <si>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</si>
  <si>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</si>
  <si>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</si>
  <si>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</si>
  <si>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</si>
  <si>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</si>
  <si>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</si>
  <si>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</si>
  <si>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</si>
  <si>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</si>
  <si>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</si>
  <si>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</si>
  <si>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</si>
  <si>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</si>
  <si>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</si>
  <si>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</si>
  <si>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</si>
  <si>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</si>
  <si>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</si>
  <si>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</si>
  <si>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</si>
  <si>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</si>
  <si>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</si>
  <si>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</si>
  <si>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</si>
  <si>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</si>
  <si>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</si>
  <si>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</si>
  <si>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</si>
  <si>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</si>
  <si>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</si>
  <si>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</si>
  <si>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</si>
  <si>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</si>
  <si>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</si>
  <si>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</si>
  <si>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</si>
  <si>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</si>
  <si>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</si>
  <si>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</si>
  <si>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</si>
  <si>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</si>
  <si>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</si>
  <si>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</si>
  <si>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</si>
  <si>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</si>
  <si>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</si>
  <si>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</si>
  <si>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</si>
  <si>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</si>
  <si>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</si>
  <si>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</si>
  <si>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</si>
  <si>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</si>
  <si>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</si>
  <si>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</si>
  <si>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</si>
  <si>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</si>
  <si>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</si>
  <si>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</si>
  <si>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</si>
  <si>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</si>
  <si>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</si>
  <si>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</si>
  <si>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</si>
  <si>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</si>
  <si>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</si>
  <si>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</si>
  <si>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</si>
  <si>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</si>
  <si>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</si>
  <si>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</si>
  <si>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</si>
  <si>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</si>
  <si>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</si>
  <si>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</si>
  <si>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</si>
  <si>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</si>
  <si>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</si>
  <si>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</si>
  <si>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</si>
  <si>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</si>
  <si>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</si>
  <si>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</si>
  <si>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</si>
  <si>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</si>
  <si>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</si>
  <si>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</si>
  <si>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</si>
  <si>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</si>
  <si>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</si>
  <si>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</si>
  <si>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</si>
  <si>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</si>
  <si>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</si>
  <si>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</si>
  <si>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</si>
  <si>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</si>
  <si>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</si>
  <si>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</si>
  <si>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</si>
  <si>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</si>
  <si>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</si>
  <si>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</si>
  <si>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</si>
  <si>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</si>
  <si>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</si>
  <si>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</si>
  <si>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</si>
  <si>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</si>
  <si>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</si>
  <si>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</si>
  <si>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</si>
  <si>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</si>
  <si>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</si>
  <si>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</si>
  <si>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</si>
  <si>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</si>
  <si>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</si>
  <si>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</si>
  <si>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</si>
  <si>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</si>
  <si>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</si>
  <si>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</si>
  <si>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</si>
  <si>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</si>
  <si>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</si>
  <si>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</si>
  <si>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</si>
  <si>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</si>
  <si>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</si>
  <si>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</si>
  <si>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</si>
  <si>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</si>
  <si>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</si>
  <si>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</si>
  <si>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</si>
  <si>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</si>
  <si>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</si>
  <si>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</si>
  <si>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</si>
  <si>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</si>
  <si>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</si>
  <si>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</si>
  <si>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</si>
  <si>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</si>
  <si>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</si>
  <si>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</si>
  <si>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</si>
  <si>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</si>
  <si>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</si>
  <si>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</si>
  <si>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</si>
  <si>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</si>
  <si>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</si>
  <si>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</si>
  <si>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</si>
  <si>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</si>
  <si>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</si>
  <si>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</si>
  <si>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</si>
  <si>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</si>
  <si>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</si>
  <si>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</si>
  <si>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</si>
  <si>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</si>
  <si>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</si>
  <si>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</si>
  <si>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</si>
  <si>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</si>
  <si>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</si>
  <si>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</si>
  <si>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</si>
  <si>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</si>
  <si>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</si>
  <si>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</si>
  <si>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</si>
  <si>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</si>
  <si>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</si>
  <si>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</si>
  <si>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</si>
  <si>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</si>
  <si>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</si>
  <si>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</si>
  <si>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</si>
  <si>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</si>
  <si>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</si>
  <si>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</si>
  <si>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</si>
  <si>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</si>
  <si>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</si>
  <si>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</si>
  <si>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</si>
  <si>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</si>
  <si>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</si>
  <si>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</si>
  <si>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</si>
  <si>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</si>
  <si>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</si>
  <si>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</si>
  <si>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</si>
  <si>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</si>
  <si>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</si>
  <si>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</si>
  <si>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</si>
  <si>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</si>
  <si>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</si>
  <si>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</si>
  <si>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</si>
  <si>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</si>
  <si>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</si>
  <si>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</si>
  <si>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</si>
  <si>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</si>
  <si>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</si>
  <si>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</si>
  <si>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</si>
  <si>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</si>
  <si>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</si>
  <si>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</si>
  <si>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</si>
  <si>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</si>
  <si>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</si>
  <si>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</si>
  <si>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</si>
  <si>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</si>
  <si>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</si>
  <si>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</si>
  <si>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</si>
  <si>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</si>
  <si>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</si>
  <si>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</si>
  <si>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</si>
  <si>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</si>
  <si>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</si>
  <si>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</si>
  <si>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</si>
  <si>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</si>
  <si>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</si>
  <si>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</si>
  <si>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</si>
  <si>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</si>
  <si>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</si>
  <si>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 xml:space="preserve">Contratação de empresa para execução de serviços de manipulação de 200 ampolas de Alprostadil 20mcg para o Hospital Materno Infantil Presidente Vargas (HMIPV), da Secretaria Municipal da Saúde de Porto Alegre.
 </t>
  </si>
  <si>
    <t>26.0.000093801-6</t>
  </si>
  <si>
    <t>Ampolas</t>
  </si>
  <si>
    <t>EPC-SMS</t>
  </si>
  <si>
    <t>Cintia Leon dos Santos</t>
  </si>
  <si>
    <t>ARP -FSNH (40415570)</t>
  </si>
  <si>
    <t>Ampola de Alprostadil 20mcg.</t>
  </si>
  <si>
    <t>Drogaria São Paulo (40422223)</t>
  </si>
  <si>
    <t>Pague Menos (40422364)</t>
  </si>
  <si>
    <t>Drogarias Pacheco (40422745)</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</si>
</sst>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0">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xf numFmtId="49" fontId="10" fillId="5" borderId="1" xfId="6" applyNumberFormat="1" applyFont="1" applyFill="1" applyBorder="1" applyAlignment="1" applyProtection="1">
      <alignment horizontal="center" vertical="center" wrapText="1"/>
      <protection locked="0"/>
    </xf>
    <xf numFmtId="0" fontId="0" fillId="5" borderId="1" xfId="2"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39">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C000"/>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xmlns=""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38"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zoomScale="85" zoomScaleNormal="85" workbookViewId="0">
      <selection activeCell="O55" sqref="O55"/>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SECRETARIA MUNICIPAL DA SAÚDE (SMS)
MAPA DE PREÇOS - JUN/26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426</v>
      </c>
      <c r="I5" s="207"/>
      <c r="J5" s="207"/>
      <c r="K5" s="141"/>
      <c r="L5" s="215" t="s">
        <v>321</v>
      </c>
      <c r="M5" s="206"/>
      <c r="N5" s="206"/>
      <c r="O5" s="208" t="s">
        <v>436</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87" t="s">
        <v>433</v>
      </c>
      <c r="I6" s="211"/>
      <c r="J6" s="211"/>
      <c r="K6" s="142"/>
      <c r="L6" s="215" t="s">
        <v>352</v>
      </c>
      <c r="M6" s="206"/>
      <c r="N6" s="206"/>
      <c r="O6" s="208" t="s">
        <v>437</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434</v>
      </c>
      <c r="I7" s="207"/>
      <c r="J7" s="207"/>
      <c r="K7" s="141"/>
      <c r="L7" s="215" t="s">
        <v>351</v>
      </c>
      <c r="M7" s="206"/>
      <c r="N7" s="206"/>
      <c r="O7" s="208">
        <v>1066404</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1</v>
      </c>
      <c r="I8" s="225"/>
      <c r="J8" s="226"/>
      <c r="K8" s="141"/>
      <c r="L8" s="227" t="s">
        <v>301</v>
      </c>
      <c r="M8" s="228"/>
      <c r="N8" s="229"/>
      <c r="O8" s="219">
        <v>46223</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21818</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109.09</v>
      </c>
      <c r="N15" s="69"/>
      <c r="O15" s="27" t="s">
        <v>17</v>
      </c>
      <c r="P15" s="113">
        <v>83.28</v>
      </c>
      <c r="Q15" s="113">
        <v>126.21</v>
      </c>
      <c r="R15" s="113">
        <v>123.99</v>
      </c>
      <c r="S15" s="113">
        <v>127.48</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289" t="s">
        <v>439</v>
      </c>
      <c r="I16" s="191"/>
      <c r="J16" s="192"/>
      <c r="K16" s="66"/>
      <c r="L16" s="183"/>
      <c r="M16" s="185"/>
      <c r="N16" s="70"/>
      <c r="O16" s="27" t="s">
        <v>13</v>
      </c>
      <c r="P16" s="122">
        <v>46169</v>
      </c>
      <c r="Q16" s="122">
        <v>46223</v>
      </c>
      <c r="R16" s="122">
        <v>46223</v>
      </c>
      <c r="S16" s="122">
        <v>46223</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200</v>
      </c>
      <c r="N17" s="71"/>
      <c r="O17" s="27" t="s">
        <v>380</v>
      </c>
      <c r="P17" s="114" t="s">
        <v>12</v>
      </c>
      <c r="Q17" s="114" t="s">
        <v>302</v>
      </c>
      <c r="R17" s="114" t="s">
        <v>302</v>
      </c>
      <c r="S17" s="114" t="s">
        <v>302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288" t="s">
        <v>435</v>
      </c>
      <c r="N18" s="71"/>
      <c r="O18" s="27" t="s">
        <v>381</v>
      </c>
      <c r="P18" s="115" t="s">
        <v>438</v>
      </c>
      <c r="Q18" s="115" t="s">
        <v>440</v>
      </c>
      <c r="R18" s="115" t="s">
        <v>441</v>
      </c>
      <c r="S18" s="115" t="s">
        <v>442</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0.18886520233584778</v>
      </c>
      <c r="N19" s="71"/>
      <c r="O19" s="27" t="s">
        <v>18</v>
      </c>
      <c r="P19" s="106">
        <f>IF(P15="","",
IF(OR(P17="Orçamento",P16="",MAX('Tabela de Apoio'!$A:$A)&lt;=P16),
P15,
(INDEX('Tabela de Apoio'!$B:$B,MATCH('MAPA DE PREÇOS'!$O$8,'Tabela de Apoio'!$A:$A,1))/INDEX('Tabela de Apoio'!$B:$B,MATCH('MAPA DE PREÇOS'!P16,'Tabela de Apoio'!$A:$A,1)-1))*P15))</f>
        <v>83.897027760334595</v>
      </c>
      <c r="Q19" s="106">
        <f>IF(Q15="","",
IF(OR(Q17="Orçamento",Q16="",MAX('Tabela de Apoio'!$A:$A)&lt;=Q16),
Q15,
(INDEX('Tabela de Apoio'!$B:$B,MATCH('MAPA DE PREÇOS'!$O$8,'Tabela de Apoio'!$A:$A,1))/INDEX('Tabela de Apoio'!$B:$B,MATCH('MAPA DE PREÇOS'!Q16,'Tabela de Apoio'!$A:$A,1)-1))*Q15))</f>
        <v>126.21</v>
      </c>
      <c r="R19" s="106">
        <f>IF(R15="","",
IF(OR(R17="Orçamento",R16="",MAX('Tabela de Apoio'!$A:$A)&lt;=R16),
R15,
(INDEX('Tabela de Apoio'!$B:$B,MATCH('MAPA DE PREÇOS'!$O$8,'Tabela de Apoio'!$A:$A,1))/INDEX('Tabela de Apoio'!$B:$B,MATCH('MAPA DE PREÇOS'!R16,'Tabela de Apoio'!$A:$A,1)-1))*R15))</f>
        <v>123.99</v>
      </c>
      <c r="S19" s="106">
        <f>IF(S15="","",
IF(OR(S17="Orçamento",S16="",MAX('Tabela de Apoio'!$A:$A)&lt;=S16),
S15,
(INDEX('Tabela de Apoio'!$B:$B,MATCH('MAPA DE PREÇOS'!$O$8,'Tabela de Apoio'!$A:$A,1))/INDEX('Tabela de Apoio'!$B:$B,MATCH('MAPA DE PREÇOS'!S16,'Tabela de Apoio'!$A:$A,1)-1))*S15))</f>
        <v>127.48</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83.897027760334595</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4</v>
      </c>
      <c r="I21" s="132">
        <f>_xlfn.STDEV.P($P20:$XX21)/AVERAGE($P20:$XX21)</f>
        <v>0.18886520233584778</v>
      </c>
      <c r="J21" s="7">
        <f>ROW()</f>
        <v>21</v>
      </c>
      <c r="K21" s="67"/>
      <c r="L21" s="29" t="s">
        <v>10</v>
      </c>
      <c r="M21" s="30">
        <f>IFERROR(
IF(COUNTA(P15:AI15)=COUNTIF(P17:XX17,"Orçamento"),MIN(M26,M23),
IF(M24&lt;&gt;"",M24,
IF(M25&lt;&gt;"",M25,
M23
))),"")</f>
        <v>109.09481110413383</v>
      </c>
      <c r="N21" s="71"/>
      <c r="O21" s="27" t="s">
        <v>376</v>
      </c>
      <c r="P21" s="106">
        <f>IFERROR(IF(P19="",
            "",
            IF(COUNT($P19:$XX19)&lt;=4,
               P19,
               IF(OR(P19&gt;(QUARTILE($P19:$XX19,3)+(QUARTILE($P19:$XX19,3)-QUARTILE($P19:$XX19,1))),
                     P19&lt;(QUARTILE($P19:$XX19,1)-(QUARTILE($P19:$XX19,3)-QUARTILE($P19:$XX19,1)))
                  ),
               "DESCARTADO",P19)
             )
  ),P19)</f>
        <v>83.897027760334595</v>
      </c>
      <c r="Q21" s="106">
        <f t="shared" ref="Q21:AI21" si="3">IFERROR(IF(Q19="",
            "",
            IF(COUNT($P19:$XX19)&lt;=4,
               Q19,
               IF(OR(Q19&gt;(QUARTILE($P19:$XX19,3)+(QUARTILE($P19:$XX19,3)-QUARTILE($P19:$XX19,1))),
                     Q19&lt;(QUARTILE($P19:$XX19,1)-(QUARTILE($P19:$XX19,3)-QUARTILE($P19:$XX19,1)))
                  ),
               "DESCARTADO",Q19)
             )
  ),Q19)</f>
        <v>126.21</v>
      </c>
      <c r="R21" s="106">
        <f t="shared" si="3"/>
        <v>123.99</v>
      </c>
      <c r="S21" s="106">
        <f t="shared" si="3"/>
        <v>127.48</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115.39425694008365</v>
      </c>
      <c r="N22" s="71"/>
      <c r="O22" s="27" t="str">
        <f>"1 POND"</f>
        <v>1 POND</v>
      </c>
      <c r="P22" s="107">
        <f>IF(IFERROR(VLOOKUP(P17,'Tabela de Apoio'!$D:$E,2,FALSE),1)=1,"",P23)</f>
        <v>83.897027760334595</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4</v>
      </c>
      <c r="I23" s="132">
        <f>_xlfn.STDEV.P($P22:$XX23)/AVERAGE($P22:$XX23)</f>
        <v>0.18886520233584778</v>
      </c>
      <c r="J23" s="7">
        <f>IF(AND(H23&gt;2,
OR(L15="MÉDIA SANEADA",L15="MEDIANA SANEADA",
AND(L15="PREÇO ESTIMADO",NOT(AND(P17="Orçamento",COUNTA(P15:XX15)=COUNTIF(P17:XX17,"Orçamento")))))),
ROW(),0)</f>
        <v>23</v>
      </c>
      <c r="K23" s="66"/>
      <c r="L23" s="29" t="s">
        <v>361</v>
      </c>
      <c r="M23" s="30">
        <f>MEDIAN($P21:$XX21)</f>
        <v>125.1</v>
      </c>
      <c r="N23" s="71"/>
      <c r="O23" s="27" t="str">
        <f>"1 RODADA"</f>
        <v>1 RODADA</v>
      </c>
      <c r="P23" s="107">
        <f>IF(P21="","",IF((_xlfn.STDEV.P($P20:$XX21)/AVERAGE($P20:$XX21))&lt;=25%,P21,IF(OR(P21&gt;(AVERAGE($P20:$XX21)+_xlfn.STDEV.P($P20:$XX21)),P21&lt;(AVERAGE($P20:$XX21)-_xlfn.STDEV.P($P20:$XX21))),"DESCARTADO",P21)))</f>
        <v>83.897027760334595</v>
      </c>
      <c r="Q23" s="107">
        <f t="shared" ref="Q23:AI23" si="6">IF(Q21="","",IF((_xlfn.STDEV.P($P20:$XX21)/AVERAGE($P20:$XX21))&lt;=25%,Q21,IF(OR(Q21&gt;(AVERAGE($P20:$XX21)+_xlfn.STDEV.P($P20:$XX21)),Q21&lt;(AVERAGE($P20:$XX21)-_xlfn.STDEV.P($P20:$XX21))),"DESCARTADO",Q21)))</f>
        <v>126.21</v>
      </c>
      <c r="R23" s="107">
        <f t="shared" si="6"/>
        <v>123.99</v>
      </c>
      <c r="S23" s="107">
        <f t="shared" si="6"/>
        <v>127.48</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109.09481110413383</v>
      </c>
      <c r="N24" s="71"/>
      <c r="O24" s="27" t="str">
        <f>"2 POND"</f>
        <v>2 POND</v>
      </c>
      <c r="P24" s="107">
        <f>IF(IFERROR(VLOOKUP(P17,'Tabela de Apoio'!$D:$E,2,FALSE),1)=1,"",P25)</f>
        <v>83.897027760334595</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4</v>
      </c>
      <c r="I25" s="132">
        <f>_xlfn.STDEV.P($P24:$XX25)/AVERAGE($P24:$XX25)</f>
        <v>0.18886520233584778</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123.99</v>
      </c>
      <c r="N25" s="71"/>
      <c r="O25" s="27" t="str">
        <f>"2 RODADA"</f>
        <v>2 RODADA</v>
      </c>
      <c r="P25" s="107">
        <f>IF(P23="","",IF((_xlfn.STDEV.P($P22:$XX23)/AVERAGE($P22:$XX23))&lt;=25%,P23,IF(OR(P23&gt;(AVERAGE($P22:$XX23)+_xlfn.STDEV.P($P22:$XX23)),P23&lt;(AVERAGE($P22:$XX23)-_xlfn.STDEV.P($P22:$XX23))),"DESCARTADO",P23)))</f>
        <v>83.897027760334595</v>
      </c>
      <c r="Q25" s="107">
        <f t="shared" ref="Q25:AI25" si="7">IF(Q23="","",IF((_xlfn.STDEV.P($P22:$XX23)/AVERAGE($P22:$XX23))&lt;=25%,Q23,IF(OR(Q23&gt;(AVERAGE($P22:$XX23)+_xlfn.STDEV.P($P22:$XX23)),Q23&lt;(AVERAGE($P22:$XX23)-_xlfn.STDEV.P($P22:$XX23))),"DESCARTADO",Q23)))</f>
        <v>126.21</v>
      </c>
      <c r="R25" s="107">
        <f t="shared" si="7"/>
        <v>123.99</v>
      </c>
      <c r="S25" s="107">
        <f t="shared" si="7"/>
        <v>127.48</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104.88428604948817</v>
      </c>
      <c r="N26" s="71"/>
      <c r="O26" s="27" t="str">
        <f>"3 POND"</f>
        <v>3 POND</v>
      </c>
      <c r="P26" s="107">
        <f>IF(IFERROR(VLOOKUP(P17,'Tabela de Apoio'!$D:$E,2,FALSE),1)=1,"",P27)</f>
        <v>83.897027760334595</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4</v>
      </c>
      <c r="I27" s="132">
        <f>_xlfn.STDEV.P($P26:$XX27)/AVERAGE($P26:$XX27)</f>
        <v>0.18886520233584778</v>
      </c>
      <c r="J27" s="7">
        <f>IF(AND(H27&gt;2,
OR(L15="MÉDIA SANEADA",L15="MEDIANA SANEADA",
AND(L15="PREÇO ESTIMADO",NOT(AND(P17="Orçamento",COUNTA(P15:XX15)=COUNTIF(P17:XX17,"Orçamento")))))),
ROW(),0)</f>
        <v>27</v>
      </c>
      <c r="K27" s="66"/>
      <c r="L27" s="29" t="s">
        <v>41</v>
      </c>
      <c r="M27" s="30">
        <f>IFERROR(_xlfn.QUARTILE.EXC($P21:$XX21,1),"")</f>
        <v>93.920270820250948</v>
      </c>
      <c r="N27" s="71"/>
      <c r="O27" s="27" t="str">
        <f>"3 RODADA"</f>
        <v>3 RODADA</v>
      </c>
      <c r="P27" s="107">
        <f>IF(P25="","",IF((_xlfn.STDEV.P($P24:$XX25)/AVERAGE($P24:$XX25))&lt;=25%,P25,IF(OR(P25&gt;(AVERAGE($P24:$XX25)+_xlfn.STDEV.P($P24:$XX25)),P25&lt;(AVERAGE($P24:$XX25)-_xlfn.STDEV.P($P24:$XX25))),"DESCARTADO",P25)))</f>
        <v>83.897027760334595</v>
      </c>
      <c r="Q27" s="107">
        <f t="shared" ref="Q27:AI27" si="8">IF(Q25="","",IF((_xlfn.STDEV.P($P24:$XX25)/AVERAGE($P24:$XX25))&lt;=25%,Q25,IF(OR(Q25&gt;(AVERAGE($P24:$XX25)+_xlfn.STDEV.P($P24:$XX25)),Q25&lt;(AVERAGE($P24:$XX25)-_xlfn.STDEV.P($P24:$XX25))),"DESCARTADO",Q25)))</f>
        <v>126.21</v>
      </c>
      <c r="R27" s="107">
        <f t="shared" si="8"/>
        <v>123.99</v>
      </c>
      <c r="S27" s="107">
        <f t="shared" si="8"/>
        <v>127.48</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127.16249999999999</v>
      </c>
      <c r="N28" s="71"/>
      <c r="O28" s="27" t="str">
        <f>"4 POND"</f>
        <v>4 POND</v>
      </c>
      <c r="P28" s="107">
        <f>IF(IFERROR(VLOOKUP(P17,'Tabela de Apoio'!$D:$E,2,FALSE),1)=1,"",P29)</f>
        <v>83.897027760334595</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4</v>
      </c>
      <c r="I29" s="132">
        <f>_xlfn.STDEV.P($P28:$XX29)/AVERAGE($P28:$XX29)</f>
        <v>0.18886520233584778</v>
      </c>
      <c r="J29" s="7">
        <f>IF(AND(H29&gt;2,
OR(L15="MÉDIA SANEADA",L15="MEDIANA SANEADA",
AND(L15="PREÇO ESTIMADO",NOT(AND(P17="Orçamento",COUNTA(P15:XX15)=COUNTIF(P17:XX17,"Orçamento")))))),
ROW(),0)</f>
        <v>29</v>
      </c>
      <c r="K29" s="66"/>
      <c r="L29" s="29" t="s">
        <v>42</v>
      </c>
      <c r="M29" s="30">
        <f>MIN($P21:$XX21)</f>
        <v>83.897027760334595</v>
      </c>
      <c r="N29" s="71"/>
      <c r="O29" s="27" t="str">
        <f>"4 RODADA"</f>
        <v>4 RODADA</v>
      </c>
      <c r="P29" s="107">
        <f>IF(P27="","",IF((_xlfn.STDEV.P($P26:$XX27)/AVERAGE($P26:$XX27))&lt;=25%,P27,IF(OR(P27&gt;(AVERAGE($P26:$XX27)+_xlfn.STDEV.P($P26:$XX27)),P27&lt;(AVERAGE($P26:$XX27)-_xlfn.STDEV.P($P26:$XX27))),"DESCARTADO",P27)))</f>
        <v>83.897027760334595</v>
      </c>
      <c r="Q29" s="107">
        <f t="shared" ref="Q29:AI29" si="9">IF(Q27="","",IF((_xlfn.STDEV.P($P26:$XX27)/AVERAGE($P26:$XX27))&lt;=25%,Q27,IF(OR(Q27&gt;(AVERAGE($P26:$XX27)+_xlfn.STDEV.P($P26:$XX27)),Q27&lt;(AVERAGE($P26:$XX27)-_xlfn.STDEV.P($P26:$XX27))),"DESCARTADO",Q27)))</f>
        <v>126.21</v>
      </c>
      <c r="R29" s="107">
        <f t="shared" si="9"/>
        <v>123.99</v>
      </c>
      <c r="S29" s="107">
        <f t="shared" si="9"/>
        <v>127.48</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127.48</v>
      </c>
      <c r="N30" s="71"/>
      <c r="O30" s="27" t="str">
        <f>"5 POND"</f>
        <v>5 POND</v>
      </c>
      <c r="P30" s="107">
        <f>IF(IFERROR(VLOOKUP(P17,'Tabela de Apoio'!$D:$E,2,FALSE),1)=1,"",P31)</f>
        <v>83.897027760334595</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4</v>
      </c>
      <c r="I31" s="132">
        <f>_xlfn.STDEV.P($P30:$XX31)/AVERAGE($P30:$XX31)</f>
        <v>0.18886520233584778</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83.897027760334595</v>
      </c>
      <c r="Q31" s="107">
        <f t="shared" ref="Q31:AI31" si="10">IF(Q29="","",IF((_xlfn.STDEV.P($P28:$XX29)/AVERAGE($P28:$XX29))&lt;=25%,Q29,IF(OR(Q29&gt;(AVERAGE($P28:$XX29)+_xlfn.STDEV.P($P28:$XX29)),Q29&lt;(AVERAGE($P28:$XX29)-_xlfn.STDEV.P($P28:$XX29))),"DESCARTADO",Q29)))</f>
        <v>126.21</v>
      </c>
      <c r="R31" s="107">
        <f t="shared" si="10"/>
        <v>123.99</v>
      </c>
      <c r="S31" s="107">
        <f t="shared" si="10"/>
        <v>127.48</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83.897027760334595</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4</v>
      </c>
      <c r="I33" s="132">
        <f>_xlfn.STDEV.P($P32:$XX33)/AVERAGE($P32:$XX33)</f>
        <v>0.18886520233584778</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83.897027760334595</v>
      </c>
      <c r="Q33" s="107">
        <f t="shared" ref="Q33:AI33" si="11">IFERROR(IF(Q31="","",IF((_xlfn.STDEV.P($P30:$XX31)/AVERAGE($P30:$XX31))&lt;=25%,Q31,IF(OR(Q31&gt;(AVERAGE($P30:$XX31)+_xlfn.STDEV.P($P30:$XX31)),Q31&lt;(AVERAGE($P30:$XX31)-_xlfn.STDEV.P($P30:$XX31))),"DESCARTADO",Q31))),)</f>
        <v>126.21</v>
      </c>
      <c r="R33" s="107">
        <f t="shared" si="11"/>
        <v>123.99</v>
      </c>
      <c r="S33" s="107">
        <f t="shared" si="11"/>
        <v>127.48</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21818</v>
      </c>
      <c r="O34" s="27" t="s">
        <v>363</v>
      </c>
      <c r="P34" s="107">
        <f>INDEX(P21:P33,MATCH(MAX($J21:$J33),$J21:$J33,0))</f>
        <v>83.897027760334595</v>
      </c>
      <c r="Q34" s="107">
        <f t="shared" ref="Q34:R34" si="12">INDEX(Q21:Q33,MATCH(MAX($J21:$J33),$J21:$J33,0))</f>
        <v>126.21</v>
      </c>
      <c r="R34" s="107">
        <f t="shared" si="12"/>
        <v>123.99</v>
      </c>
      <c r="S34" s="107">
        <f t="shared" ref="S34" si="13">INDEX(S21:S33,MATCH(MAX($J21:$J33),$J21:$J33,0))</f>
        <v>127.48</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A10:XFD16">
    <cfRule type="containsText" dxfId="37" priority="6" operator="containsText" text="DESCARTADO">
      <formula>NOT(ISERROR(SEARCH("DESCARTADO",A1)))</formula>
    </cfRule>
  </conditionalFormatting>
  <conditionalFormatting sqref="A1:XFD3 Y4:XFD9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A10:XFD16">
    <cfRule type="expression" dxfId="36"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35"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34" priority="564" operator="containsText" text="DESCARTADO">
      <formula>NOT(ISERROR(SEARCH("DESCARTADO",E18)))</formula>
    </cfRule>
    <cfRule type="expression" dxfId="33" priority="565" stopIfTrue="1">
      <formula>ISERR($B19)</formula>
    </cfRule>
  </conditionalFormatting>
  <conditionalFormatting sqref="H5 O5:P6 O7:O8 H8">
    <cfRule type="expression" dxfId="32"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31"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30"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DA SAÚDE (SMS)</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Ampola de Alprostadil 20mcg.</v>
      </c>
      <c r="H8" s="84" t="str">
        <f>IF($B7="","",IF($C8=$C5,INDEX('MAPA DE PREÇOS'!$M:$M,MATCH($B8,'MAPA DE PREÇOS'!$B:$B)-16),IF($C8=$C6,"Unidade","")))</f>
        <v>Ampolas</v>
      </c>
      <c r="I8" s="84">
        <f>IF($B7="","",IF($C8=$C5,INDEX('MAPA DE PREÇOS'!$M:$M,MATCH($B8,'MAPA DE PREÇOS'!$B:$B)-17),IF($C8=$C6,"Quant.","")))</f>
        <v>200</v>
      </c>
      <c r="J8" s="60">
        <f>IF(AND(COUNTBLANK($B5:$B7)=2,$B7="",$B6="",MAX(C:C)&gt;1),"Total Estimado",IF($B7="","",IF($C8=$C5,INDEX('MAPA DE PREÇOS'!$M:$M,MATCH($B8,'MAPA DE PREÇOS'!$B:$B)-19),IF($C8=$C6,"Valor Unit. (R$)",IF(AND($C8&lt;&gt;$C7,$J7&lt;&gt;""),IF(MAX(C:C)=1,"Total Estimado","Subtotal"),"")))))</f>
        <v>109.09</v>
      </c>
      <c r="K8" s="75">
        <f>IFERROR(IF(AND(COUNTBLANK($B5:$B7)=2,$B7="",$B6="",MAX($C:$C)&gt;1),SUM($K$3:K7)/2,IF($B7="","",IF($C8=$C5,ROUND(J8*I8,2),IF($C8=$C6,"Total Item (R$)",IF(AND($C8&lt;&gt;$C7,$J7&lt;&gt;""),SUMIFS(K:K,$C:$C,C7,J:J,"&lt;&gt;Subtotal"),""))))),"")</f>
        <v>21818</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21818</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29" priority="3">
      <formula>NOT(ISNUMBER($E5))</formula>
    </cfRule>
    <cfRule type="expression" dxfId="28"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SECRETARIA MUNICIPAL DA SAÚDE (SMS)</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Ampola de Alprostadil 20mcg.</v>
      </c>
      <c r="H8" s="84" t="str">
        <f>IF($B7="","",IF($C8=$C5,INDEX('MAPA DE PREÇOS'!$M:$M,MATCH($B8,'MAPA DE PREÇOS'!$B:$B)-16),IF($C8=$C6,"Unidade","")))</f>
        <v>Ampolas</v>
      </c>
      <c r="I8" s="84">
        <f>IF($B7="","",IF($C8=$C5,INDEX('MAPA DE PREÇOS'!$M:$M,MATCH($B8,'MAPA DE PREÇOS'!$B:$B)-17),IF($C8=$C6,"Quant.","")))</f>
        <v>200</v>
      </c>
      <c r="J8" s="60">
        <f>IF(J7="Total Mensal","Total Acumulado",IF($B7="","",IF($C8=$C5,INDEX('MAPA DE PREÇOS'!$M:$M,MATCH($B8,'MAPA DE PREÇOS'!$B:$B)-19),IF($C8=$C6,"Valor Unit. (R$)",IF(AND($C8&lt;&gt;$C7,$J7&lt;&gt;""),"Total Mensal","")))))</f>
        <v>109.09</v>
      </c>
      <c r="K8" s="75">
        <f>IF(J8="","",IF(J8="Total Mensal","-",IF(J8="Total Acumulado",SUM(K$7:K7),I8*J8)))</f>
        <v>21818</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21818</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27" priority="3">
      <formula>NOT(ISNUMBER($E6))</formula>
    </cfRule>
    <cfRule type="expression" dxfId="26" priority="4">
      <formula>AND(E6&lt;&gt;"",LEFT(E6,4)&lt;&gt;"LOTE")</formula>
    </cfRule>
  </conditionalFormatting>
  <conditionalFormatting sqref="N7 P7 R7 T7 V7 X7 Z7 AB7 AD7 AF7 AH7 AJ7">
    <cfRule type="expression" dxfId="25" priority="316">
      <formula>NOT(ISNUMBER($E6))</formula>
    </cfRule>
    <cfRule type="expression" dxfId="24"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Ampola de Alprostadil 20mcg.</v>
      </c>
      <c r="J6" s="41" t="str">
        <f>IFERROR(IF(E6="","",INDEX('MAPA DE PREÇOS'!M:M,3+MATCH(ABC!E6,'MAPA DE PREÇOS'!B:B,0))),"")</f>
        <v>Ampolas</v>
      </c>
      <c r="K6" s="52">
        <f t="array" ref="K6">IFERROR(IF(E6="","",INDEX('MAPA DE PREÇOS'!M:M,2+MATCH(ABC!E6,'MAPA DE PREÇOS'!B:B,0))),"")</f>
        <v>200</v>
      </c>
      <c r="L6" s="53">
        <f t="array" ref="L6">IFERROR(IF(AND(E5&lt;&gt;"",E6=""),"TOTAL ESTIMADO",INDEX('MAPA DE PREÇOS'!M:M,0+MATCH(ABC!E6,'MAPA DE PREÇOS'!B:B,0))),"")</f>
        <v>109.09</v>
      </c>
      <c r="M6" s="54">
        <f>IFERROR(IF(AND(E5&lt;&gt;"",E6=""),SUM($M$5:M5),INDEX('MAPA DE PREÇOS'!M:M,19+MATCH(ABC!E6,'MAPA DE PREÇOS'!B:B,0))),"")</f>
        <v>21818</v>
      </c>
      <c r="N6" s="90">
        <f t="shared" ref="N6:N37" si="1">IFERROR(VLOOKUP(E6,$B:$C,2),"")</f>
        <v>1</v>
      </c>
      <c r="O6" s="90">
        <f>N6</f>
        <v>1</v>
      </c>
      <c r="P6" s="54" t="str">
        <f>IF(O6="","",IF(OR(N6&gt;=$S$6,O6&lt;=$S$6),"A",IF(O6&lt;=SUM($S$6:$S$7),"B","C")))</f>
        <v>A</v>
      </c>
      <c r="R6" s="156" t="s">
        <v>310</v>
      </c>
      <c r="S6" s="157">
        <v>0.8</v>
      </c>
      <c r="T6" s="156">
        <f>COUNTIF($P$6:$P$107,$R6)</f>
        <v>1</v>
      </c>
      <c r="U6" s="158">
        <f>SUMIFS($M$6:$M$107,$P$6:$P$107,$R6)</f>
        <v>21818</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21818</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23" priority="4">
      <formula>$P1="A"</formula>
    </cfRule>
    <cfRule type="expression" dxfId="22" priority="6">
      <formula>$P1="B"</formula>
    </cfRule>
    <cfRule type="expression" dxfId="21" priority="7">
      <formula>$P1="C"</formula>
    </cfRule>
  </conditionalFormatting>
  <conditionalFormatting sqref="E5:P107">
    <cfRule type="expression" dxfId="20" priority="8">
      <formula>E5&lt;&gt;""</formula>
    </cfRule>
  </conditionalFormatting>
  <conditionalFormatting sqref="R5:U5">
    <cfRule type="containsText" dxfId="19" priority="1" operator="containsText" text="DESCARTADO">
      <formula>NOT(ISERROR(SEARCH("DESCARTADO",R5)))</formula>
    </cfRule>
    <cfRule type="expression" dxfId="18" priority="2" stopIfTrue="1">
      <formula>ISERR($B5)</formula>
    </cfRule>
    <cfRule type="expression" dxfId="17"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4" customFormat="1" ht="64.900000000000006" customHeight="1" x14ac:dyDescent="0.25">
      <c r="B40" s="265" t="s">
        <v>391</v>
      </c>
      <c r="C40" s="265"/>
      <c r="D40" s="265"/>
    </row>
    <row r="41" spans="2:4" s="164" customFormat="1" ht="64.900000000000006" customHeight="1" x14ac:dyDescent="0.25">
      <c r="B41" s="265"/>
      <c r="C41" s="265"/>
      <c r="D41" s="265"/>
    </row>
    <row r="42" spans="2:4" s="164" customFormat="1" ht="64.900000000000006" customHeight="1" x14ac:dyDescent="0.25">
      <c r="B42" s="265"/>
      <c r="C42" s="265"/>
      <c r="D42" s="265"/>
    </row>
    <row r="43" spans="2:4" s="164" customFormat="1" ht="64.900000000000006" customHeight="1" x14ac:dyDescent="0.25">
      <c r="B43" s="265"/>
      <c r="C43" s="265"/>
      <c r="D43" s="265"/>
    </row>
    <row r="44" spans="2:4" s="164" customFormat="1" ht="64.900000000000006" customHeight="1" x14ac:dyDescent="0.25">
      <c r="B44" s="265"/>
      <c r="C44" s="265"/>
      <c r="D44" s="265"/>
    </row>
    <row r="45" spans="2:4" s="164"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16" priority="4" stopIfTrue="1">
      <formula>(ROW()-14)&gt;$L$32*11</formula>
    </cfRule>
  </conditionalFormatting>
  <conditionalFormatting sqref="B4">
    <cfRule type="expression" dxfId="15" priority="3" stopIfTrue="1">
      <formula>(ROW()-14)&gt;$L$32*11</formula>
    </cfRule>
  </conditionalFormatting>
  <conditionalFormatting sqref="B6">
    <cfRule type="expression" dxfId="14" priority="2" stopIfTrue="1">
      <formula>(ROW()-14)&gt;$L$32*11</formula>
    </cfRule>
  </conditionalFormatting>
  <conditionalFormatting sqref="B8">
    <cfRule type="expression" dxfId="13"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A392" sqref="A392"/>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2026-07-20T16:44:33Z</dcterms:modified>
</cp:coreProperties>
</file>