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1.8\_backup-SMDUH\SMDUH\__OBRAS\__LICITAÇÃO\__PAC_DRENAGEM URBANA\_META 01_TRAVESSIAS ARROIO DO CAJU\7_PLANILHA DOS LICITANTES\"/>
    </mc:Choice>
  </mc:AlternateContent>
  <xr:revisionPtr revIDLastSave="0" documentId="13_ncr:1_{F2FEB946-B333-4441-9833-F5C417015C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" sheetId="1" r:id="rId1"/>
  </sheets>
  <externalReferences>
    <externalReference r:id="rId2"/>
  </externalReferences>
  <definedNames>
    <definedName name="_xlnm._FilterDatabase" localSheetId="0" hidden="1">ORÇAMENTO!$A$7:$I$7</definedName>
    <definedName name="ACOMPANHAMENTO" hidden="1">[1]MENU!$J$4</definedName>
    <definedName name="_xlnm.Print_Area" localSheetId="0">ORÇAMENTO!$A$2:$J$209</definedName>
    <definedName name="Import.TipoArredondamento" hidden="1">[1]DADOS!$C$31</definedName>
    <definedName name="SomaAgrup" hidden="1">SUMIF(OFFSET(ORÇAMENTO!$C1,1,0,ORÇAMENTO!$D1),"S",OFFSET(ORÇAMENTO!A1,1,0,ORÇAMENTO!$D1))</definedName>
    <definedName name="_xlnm.Print_Titles" localSheetId="0">ORÇAMENTO!$2:$7</definedName>
    <definedName name="VTOTAL1" hidden="1">ROUND(ORÇAMENTO!$S1*ORÇAMENTO!$V1,15-13*ORÇAMENTO!$AE$11)</definedName>
  </definedNames>
  <calcPr calcId="191029"/>
</workbook>
</file>

<file path=xl/calcChain.xml><?xml version="1.0" encoding="utf-8"?>
<calcChain xmlns="http://schemas.openxmlformats.org/spreadsheetml/2006/main">
  <c r="F131" i="1" l="1"/>
  <c r="F183" i="1"/>
  <c r="F165" i="1"/>
  <c r="F166" i="1" s="1"/>
  <c r="F156" i="1"/>
  <c r="F154" i="1"/>
  <c r="F148" i="1"/>
  <c r="F144" i="1"/>
  <c r="F145" i="1" s="1"/>
  <c r="F146" i="1" s="1"/>
  <c r="F140" i="1"/>
  <c r="F141" i="1" s="1"/>
  <c r="F142" i="1" s="1"/>
  <c r="F90" i="1"/>
  <c r="F95" i="1" s="1"/>
  <c r="F96" i="1" s="1"/>
  <c r="F97" i="1" s="1"/>
  <c r="F98" i="1" s="1"/>
  <c r="F39" i="1"/>
  <c r="F46" i="1"/>
  <c r="F91" i="1" l="1"/>
  <c r="F92" i="1" s="1"/>
  <c r="F149" i="1"/>
  <c r="F150" i="1" s="1"/>
  <c r="F56" i="1"/>
  <c r="F57" i="1" s="1"/>
  <c r="F58" i="1" s="1"/>
  <c r="F49" i="1"/>
  <c r="F53" i="1"/>
  <c r="F54" i="1" s="1"/>
  <c r="F44" i="1"/>
  <c r="F136" i="1"/>
  <c r="F50" i="1" l="1"/>
  <c r="F93" i="1"/>
  <c r="F137" i="1"/>
  <c r="F45" i="1"/>
  <c r="C138" i="1"/>
  <c r="C46" i="1"/>
  <c r="H172" i="1" l="1"/>
  <c r="I172" i="1" s="1"/>
  <c r="H173" i="1"/>
  <c r="I173" i="1" s="1"/>
  <c r="H174" i="1"/>
  <c r="I174" i="1" s="1"/>
  <c r="H175" i="1"/>
  <c r="I175" i="1" s="1"/>
  <c r="H176" i="1"/>
  <c r="I176" i="1" s="1"/>
  <c r="H177" i="1"/>
  <c r="I177" i="1" s="1"/>
  <c r="H178" i="1"/>
  <c r="I178" i="1" s="1"/>
  <c r="H171" i="1"/>
  <c r="I171" i="1" s="1"/>
  <c r="H91" i="1"/>
  <c r="I91" i="1" s="1"/>
  <c r="H92" i="1"/>
  <c r="I92" i="1" s="1"/>
  <c r="H93" i="1"/>
  <c r="I93" i="1" s="1"/>
  <c r="H94" i="1"/>
  <c r="I94" i="1" s="1"/>
  <c r="H98" i="1"/>
  <c r="I98" i="1" s="1"/>
  <c r="H90" i="1"/>
  <c r="I90" i="1" s="1"/>
  <c r="H121" i="1"/>
  <c r="I121" i="1" s="1"/>
  <c r="H120" i="1"/>
  <c r="I120" i="1" s="1"/>
  <c r="H105" i="1" l="1"/>
  <c r="I105" i="1" s="1"/>
  <c r="H103" i="1"/>
  <c r="I103" i="1" s="1"/>
  <c r="H102" i="1"/>
  <c r="I102" i="1" s="1"/>
  <c r="H101" i="1"/>
  <c r="I101" i="1" s="1"/>
  <c r="H86" i="1"/>
  <c r="I86" i="1" s="1"/>
  <c r="H87" i="1"/>
  <c r="I87" i="1" s="1"/>
  <c r="H85" i="1"/>
  <c r="I85" i="1" s="1"/>
  <c r="H84" i="1"/>
  <c r="I84" i="1" s="1"/>
  <c r="H83" i="1"/>
  <c r="I83" i="1" s="1"/>
  <c r="H82" i="1"/>
  <c r="I82" i="1" s="1"/>
  <c r="H81" i="1"/>
  <c r="I81" i="1" s="1"/>
  <c r="H80" i="1"/>
  <c r="I80" i="1" s="1"/>
  <c r="H75" i="1"/>
  <c r="I75" i="1" s="1"/>
  <c r="H74" i="1"/>
  <c r="I74" i="1" s="1"/>
  <c r="H73" i="1"/>
  <c r="I73" i="1" s="1"/>
  <c r="H71" i="1"/>
  <c r="I71" i="1" s="1"/>
  <c r="H70" i="1"/>
  <c r="I70" i="1" s="1"/>
  <c r="H69" i="1"/>
  <c r="I69" i="1" s="1"/>
  <c r="H68" i="1"/>
  <c r="I68" i="1" s="1"/>
  <c r="H66" i="1"/>
  <c r="I66" i="1" s="1"/>
  <c r="H64" i="1"/>
  <c r="I64" i="1" s="1"/>
  <c r="H63" i="1"/>
  <c r="I63" i="1" s="1"/>
  <c r="H62" i="1"/>
  <c r="I62" i="1" s="1"/>
  <c r="H58" i="1"/>
  <c r="I58" i="1" s="1"/>
  <c r="H57" i="1"/>
  <c r="I57" i="1" s="1"/>
  <c r="H56" i="1"/>
  <c r="I56" i="1" s="1"/>
  <c r="H54" i="1"/>
  <c r="H53" i="1"/>
  <c r="H52" i="1"/>
  <c r="H50" i="1"/>
  <c r="I50" i="1" s="1"/>
  <c r="H49" i="1"/>
  <c r="I49" i="1" s="1"/>
  <c r="H46" i="1"/>
  <c r="I46" i="1" s="1"/>
  <c r="H45" i="1"/>
  <c r="I45" i="1" s="1"/>
  <c r="H44" i="1"/>
  <c r="I44" i="1" s="1"/>
  <c r="H43" i="1"/>
  <c r="I43" i="1" s="1"/>
  <c r="H39" i="1"/>
  <c r="I39" i="1" s="1"/>
  <c r="H38" i="1"/>
  <c r="I38" i="1" s="1"/>
  <c r="H37" i="1"/>
  <c r="I37" i="1" s="1"/>
  <c r="H36" i="1"/>
  <c r="I36" i="1" s="1"/>
  <c r="H31" i="1"/>
  <c r="I31" i="1" s="1"/>
  <c r="H30" i="1"/>
  <c r="I30" i="1" s="1"/>
  <c r="A20" i="1"/>
  <c r="A21" i="1" s="1"/>
  <c r="A22" i="1" s="1"/>
  <c r="A25" i="1" s="1"/>
  <c r="A30" i="1" s="1"/>
  <c r="A31" i="1" s="1"/>
  <c r="A32" i="1" s="1"/>
  <c r="A35" i="1" s="1"/>
  <c r="A36" i="1" s="1"/>
  <c r="A37" i="1" s="1"/>
  <c r="A38" i="1" s="1"/>
  <c r="A39" i="1" s="1"/>
  <c r="A43" i="1" s="1"/>
  <c r="A44" i="1" s="1"/>
  <c r="A45" i="1" s="1"/>
  <c r="A46" i="1" s="1"/>
  <c r="A48" i="1" s="1"/>
  <c r="A49" i="1" s="1"/>
  <c r="A50" i="1" s="1"/>
  <c r="A52" i="1" s="1"/>
  <c r="A53" i="1" s="1"/>
  <c r="A54" i="1" s="1"/>
  <c r="A56" i="1" s="1"/>
  <c r="A57" i="1" s="1"/>
  <c r="A58" i="1" s="1"/>
  <c r="A62" i="1" s="1"/>
  <c r="A63" i="1" s="1"/>
  <c r="A64" i="1" s="1"/>
  <c r="A66" i="1" s="1"/>
  <c r="A68" i="1" s="1"/>
  <c r="A69" i="1" s="1"/>
  <c r="A70" i="1" s="1"/>
  <c r="A71" i="1" s="1"/>
  <c r="A73" i="1" s="1"/>
  <c r="A74" i="1" s="1"/>
  <c r="A75" i="1" s="1"/>
  <c r="A80" i="1" s="1"/>
  <c r="A81" i="1" s="1"/>
  <c r="A82" i="1" s="1"/>
  <c r="A83" i="1" s="1"/>
  <c r="A84" i="1" s="1"/>
  <c r="A85" i="1" s="1"/>
  <c r="A86" i="1" s="1"/>
  <c r="A87" i="1" s="1"/>
  <c r="A90" i="1" s="1"/>
  <c r="A91" i="1" s="1"/>
  <c r="A92" i="1" s="1"/>
  <c r="A93" i="1" s="1"/>
  <c r="A94" i="1" s="1"/>
  <c r="A95" i="1" s="1"/>
  <c r="A96" i="1" s="1"/>
  <c r="A97" i="1" s="1"/>
  <c r="A98" i="1" s="1"/>
  <c r="A101" i="1" s="1"/>
  <c r="A102" i="1" s="1"/>
  <c r="A103" i="1" s="1"/>
  <c r="A104" i="1" s="1"/>
  <c r="A105" i="1" s="1"/>
  <c r="H13" i="1" l="1"/>
  <c r="H14" i="1"/>
  <c r="I14" i="1" l="1"/>
  <c r="I13" i="1"/>
  <c r="H149" i="1"/>
  <c r="I149" i="1" s="1"/>
  <c r="H145" i="1"/>
  <c r="I145" i="1" s="1"/>
  <c r="H141" i="1"/>
  <c r="I141" i="1" s="1"/>
  <c r="H129" i="1"/>
  <c r="I129" i="1" s="1"/>
  <c r="F184" i="1"/>
  <c r="H158" i="1"/>
  <c r="I158" i="1" s="1"/>
  <c r="H154" i="1"/>
  <c r="I154" i="1" s="1"/>
  <c r="H138" i="1"/>
  <c r="I138" i="1" s="1"/>
  <c r="F185" i="1" l="1"/>
  <c r="F186" i="1" s="1"/>
  <c r="I11" i="1"/>
  <c r="I9" i="1" s="1"/>
  <c r="I53" i="1"/>
  <c r="F188" i="1"/>
  <c r="F190" i="1"/>
  <c r="F191" i="1" s="1"/>
  <c r="F189" i="1" l="1"/>
  <c r="H20" i="1"/>
  <c r="I20" i="1" s="1"/>
  <c r="H198" i="1" l="1"/>
  <c r="I198" i="1" s="1"/>
  <c r="H196" i="1"/>
  <c r="I196" i="1" s="1"/>
  <c r="H195" i="1"/>
  <c r="I195" i="1" s="1"/>
  <c r="H194" i="1"/>
  <c r="I194" i="1" s="1"/>
  <c r="H35" i="1" l="1"/>
  <c r="I35" i="1" s="1"/>
  <c r="H122" i="1"/>
  <c r="H197" i="1"/>
  <c r="I122" i="1" l="1"/>
  <c r="I118" i="1" s="1"/>
  <c r="I197" i="1"/>
  <c r="I192" i="1" s="1"/>
  <c r="H110" i="1"/>
  <c r="I110" i="1" s="1"/>
  <c r="H115" i="1"/>
  <c r="I115" i="1" s="1"/>
  <c r="H148" i="1"/>
  <c r="I148" i="1" s="1"/>
  <c r="H140" i="1"/>
  <c r="I140" i="1" s="1"/>
  <c r="I54" i="1"/>
  <c r="I52" i="1"/>
  <c r="H111" i="1"/>
  <c r="I111" i="1" s="1"/>
  <c r="H112" i="1"/>
  <c r="I112" i="1" s="1"/>
  <c r="H125" i="1"/>
  <c r="I125" i="1" s="1"/>
  <c r="H126" i="1"/>
  <c r="I126" i="1" s="1"/>
  <c r="H127" i="1"/>
  <c r="I127" i="1" s="1"/>
  <c r="H128" i="1"/>
  <c r="I128" i="1" s="1"/>
  <c r="H130" i="1"/>
  <c r="I130" i="1" s="1"/>
  <c r="H131" i="1"/>
  <c r="I131" i="1" s="1"/>
  <c r="H191" i="1"/>
  <c r="I191" i="1" s="1"/>
  <c r="H189" i="1"/>
  <c r="I189" i="1" s="1"/>
  <c r="H187" i="1"/>
  <c r="I187" i="1" s="1"/>
  <c r="H186" i="1"/>
  <c r="I186" i="1" s="1"/>
  <c r="H185" i="1"/>
  <c r="I185" i="1" s="1"/>
  <c r="H184" i="1"/>
  <c r="I184" i="1" s="1"/>
  <c r="H183" i="1"/>
  <c r="I183" i="1" s="1"/>
  <c r="H180" i="1"/>
  <c r="H167" i="1"/>
  <c r="I167" i="1" s="1"/>
  <c r="H166" i="1"/>
  <c r="I166" i="1" s="1"/>
  <c r="H165" i="1"/>
  <c r="I165" i="1" s="1"/>
  <c r="H163" i="1"/>
  <c r="I163" i="1" s="1"/>
  <c r="H162" i="1"/>
  <c r="I162" i="1" s="1"/>
  <c r="H161" i="1"/>
  <c r="I161" i="1" s="1"/>
  <c r="H160" i="1"/>
  <c r="I160" i="1" s="1"/>
  <c r="I157" i="1"/>
  <c r="H156" i="1"/>
  <c r="I156" i="1" s="1"/>
  <c r="H155" i="1"/>
  <c r="I155" i="1" s="1"/>
  <c r="H150" i="1"/>
  <c r="I150" i="1" s="1"/>
  <c r="H146" i="1"/>
  <c r="I146" i="1" s="1"/>
  <c r="H144" i="1"/>
  <c r="I144" i="1" s="1"/>
  <c r="H142" i="1"/>
  <c r="I142" i="1" s="1"/>
  <c r="H137" i="1"/>
  <c r="I137" i="1" s="1"/>
  <c r="H136" i="1"/>
  <c r="I136" i="1" s="1"/>
  <c r="H135" i="1"/>
  <c r="I135" i="1" s="1"/>
  <c r="H188" i="1" l="1"/>
  <c r="I188" i="1" s="1"/>
  <c r="I180" i="1"/>
  <c r="I179" i="1" s="1"/>
  <c r="I51" i="1"/>
  <c r="I113" i="1"/>
  <c r="I65" i="1"/>
  <c r="I42" i="1"/>
  <c r="I123" i="1"/>
  <c r="I67" i="1"/>
  <c r="I61" i="1"/>
  <c r="I72" i="1"/>
  <c r="I170" i="1"/>
  <c r="I143" i="1"/>
  <c r="I153" i="1"/>
  <c r="I159" i="1"/>
  <c r="I164" i="1"/>
  <c r="I134" i="1"/>
  <c r="I139" i="1"/>
  <c r="I147" i="1"/>
  <c r="I33" i="1"/>
  <c r="H95" i="1"/>
  <c r="I95" i="1" s="1"/>
  <c r="H96" i="1"/>
  <c r="I96" i="1" s="1"/>
  <c r="I108" i="1"/>
  <c r="H190" i="1" l="1"/>
  <c r="H97" i="1"/>
  <c r="I97" i="1" s="1"/>
  <c r="H22" i="1"/>
  <c r="I22" i="1" s="1"/>
  <c r="I168" i="1"/>
  <c r="H32" i="1"/>
  <c r="I32" i="1" s="1"/>
  <c r="H25" i="1"/>
  <c r="I25" i="1" s="1"/>
  <c r="H21" i="1"/>
  <c r="I21" i="1" s="1"/>
  <c r="I59" i="1"/>
  <c r="I151" i="1"/>
  <c r="I132" i="1"/>
  <c r="I190" i="1" l="1"/>
  <c r="I181" i="1" s="1"/>
  <c r="I79" i="1"/>
  <c r="I77" i="1" s="1"/>
  <c r="I28" i="1"/>
  <c r="I23" i="1"/>
  <c r="I55" i="1"/>
  <c r="I88" i="1"/>
  <c r="H48" i="1"/>
  <c r="I48" i="1" s="1"/>
  <c r="H104" i="1"/>
  <c r="I104" i="1" s="1"/>
  <c r="I18" i="1"/>
  <c r="I116" i="1" l="1"/>
  <c r="I107" i="1" s="1"/>
  <c r="I47" i="1"/>
  <c r="I40" i="1" s="1"/>
  <c r="I99" i="1"/>
  <c r="I26" i="1" l="1"/>
  <c r="I16" i="1" s="1"/>
  <c r="I201" i="1" l="1"/>
  <c r="J121" i="1" l="1"/>
  <c r="J140" i="1"/>
  <c r="J127" i="1"/>
  <c r="J126" i="1"/>
  <c r="J129" i="1"/>
  <c r="J122" i="1"/>
  <c r="J142" i="1"/>
  <c r="J120" i="1"/>
  <c r="J141" i="1"/>
  <c r="J138" i="1"/>
  <c r="J9" i="1"/>
  <c r="J125" i="1"/>
  <c r="J16" i="1"/>
  <c r="J136" i="1"/>
  <c r="J131" i="1"/>
  <c r="J135" i="1"/>
  <c r="J128" i="1"/>
  <c r="J130" i="1"/>
  <c r="J137" i="1"/>
  <c r="J139" i="1" l="1"/>
  <c r="J118" i="1"/>
  <c r="J134" i="1"/>
  <c r="J123" i="1"/>
  <c r="J13" i="1" l="1"/>
  <c r="J46" i="1"/>
  <c r="J49" i="1"/>
  <c r="J53" i="1"/>
  <c r="J57" i="1"/>
  <c r="J64" i="1"/>
  <c r="J35" i="1"/>
  <c r="J98" i="1"/>
  <c r="J58" i="1"/>
  <c r="J91" i="1"/>
  <c r="J90" i="1"/>
  <c r="J66" i="1"/>
  <c r="J65" i="1" s="1"/>
  <c r="J54" i="1"/>
  <c r="J68" i="1"/>
  <c r="J81" i="1"/>
  <c r="J115" i="1"/>
  <c r="J113" i="1" s="1"/>
  <c r="J39" i="1"/>
  <c r="J44" i="1"/>
  <c r="J62" i="1"/>
  <c r="J102" i="1"/>
  <c r="J31" i="1"/>
  <c r="J92" i="1"/>
  <c r="J101" i="1"/>
  <c r="J82" i="1"/>
  <c r="J69" i="1"/>
  <c r="J45" i="1"/>
  <c r="J83" i="1"/>
  <c r="J103" i="1"/>
  <c r="J75" i="1"/>
  <c r="J36" i="1"/>
  <c r="J37" i="1"/>
  <c r="J73" i="1"/>
  <c r="J110" i="1"/>
  <c r="J94" i="1"/>
  <c r="J52" i="1"/>
  <c r="J112" i="1"/>
  <c r="J93" i="1"/>
  <c r="J71" i="1"/>
  <c r="J43" i="1"/>
  <c r="J38" i="1"/>
  <c r="J111" i="1"/>
  <c r="J87" i="1"/>
  <c r="J30" i="1"/>
  <c r="J70" i="1"/>
  <c r="J85" i="1"/>
  <c r="J63" i="1"/>
  <c r="J50" i="1"/>
  <c r="J74" i="1"/>
  <c r="J105" i="1"/>
  <c r="J84" i="1"/>
  <c r="J22" i="1"/>
  <c r="J97" i="1"/>
  <c r="J80" i="1"/>
  <c r="J21" i="1"/>
  <c r="J95" i="1"/>
  <c r="J32" i="1"/>
  <c r="J86" i="1"/>
  <c r="J96" i="1"/>
  <c r="J20" i="1"/>
  <c r="J25" i="1"/>
  <c r="J23" i="1" s="1"/>
  <c r="J56" i="1"/>
  <c r="J48" i="1"/>
  <c r="J104" i="1"/>
  <c r="J14" i="1"/>
  <c r="J187" i="1"/>
  <c r="J160" i="1"/>
  <c r="J161" i="1"/>
  <c r="J150" i="1"/>
  <c r="J179" i="1"/>
  <c r="J167" i="1"/>
  <c r="J171" i="1"/>
  <c r="J144" i="1"/>
  <c r="J148" i="1"/>
  <c r="J197" i="1"/>
  <c r="J172" i="1"/>
  <c r="J184" i="1"/>
  <c r="J154" i="1"/>
  <c r="J198" i="1"/>
  <c r="J158" i="1"/>
  <c r="J157" i="1" s="1"/>
  <c r="J189" i="1"/>
  <c r="J175" i="1"/>
  <c r="J164" i="1"/>
  <c r="J156" i="1"/>
  <c r="J188" i="1"/>
  <c r="J190" i="1"/>
  <c r="J180" i="1"/>
  <c r="J145" i="1"/>
  <c r="J195" i="1"/>
  <c r="J174" i="1"/>
  <c r="J149" i="1"/>
  <c r="J146" i="1"/>
  <c r="J162" i="1"/>
  <c r="J165" i="1"/>
  <c r="J173" i="1"/>
  <c r="J163" i="1"/>
  <c r="J186" i="1"/>
  <c r="J196" i="1"/>
  <c r="J178" i="1"/>
  <c r="J176" i="1"/>
  <c r="J159" i="1"/>
  <c r="J185" i="1"/>
  <c r="J177" i="1"/>
  <c r="J183" i="1"/>
  <c r="J166" i="1"/>
  <c r="J191" i="1"/>
  <c r="J155" i="1"/>
  <c r="J194" i="1"/>
  <c r="J18" i="1" l="1"/>
  <c r="J108" i="1"/>
  <c r="J181" i="1"/>
  <c r="J33" i="1"/>
  <c r="J55" i="1"/>
  <c r="J88" i="1"/>
  <c r="J99" i="1"/>
  <c r="J72" i="1"/>
  <c r="J79" i="1"/>
  <c r="J77" i="1" s="1"/>
  <c r="J28" i="1"/>
  <c r="J11" i="1"/>
  <c r="J51" i="1"/>
  <c r="J61" i="1"/>
  <c r="J42" i="1"/>
  <c r="J47" i="1"/>
  <c r="J67" i="1"/>
  <c r="J147" i="1"/>
  <c r="J143" i="1"/>
  <c r="J170" i="1"/>
  <c r="J168" i="1" s="1"/>
  <c r="J192" i="1"/>
  <c r="J153" i="1"/>
  <c r="J151" i="1" s="1"/>
  <c r="J132" i="1" l="1"/>
  <c r="J116" i="1" s="1"/>
  <c r="J107" i="1" s="1"/>
  <c r="J201" i="1" s="1"/>
  <c r="J59" i="1"/>
  <c r="J40" i="1"/>
  <c r="J26" i="1" l="1"/>
</calcChain>
</file>

<file path=xl/sharedStrings.xml><?xml version="1.0" encoding="utf-8"?>
<sst xmlns="http://schemas.openxmlformats.org/spreadsheetml/2006/main" count="494" uniqueCount="173">
  <si>
    <t>Item</t>
  </si>
  <si>
    <t>Banco</t>
  </si>
  <si>
    <t>Código</t>
  </si>
  <si>
    <t>Descrição</t>
  </si>
  <si>
    <t>Un.</t>
  </si>
  <si>
    <t>Qtd.</t>
  </si>
  <si>
    <t>Preço Unit</t>
  </si>
  <si>
    <t>Preço com BDI</t>
  </si>
  <si>
    <t>Total</t>
  </si>
  <si>
    <t>PROJETO BÁSICO</t>
  </si>
  <si>
    <t>Próprio</t>
  </si>
  <si>
    <t>UN</t>
  </si>
  <si>
    <t>LEVANTAMENTO PLANIALTIMÉTRICO E CADASTRAL DE ÁREA URBANA E RURAL DE 2.001 A 20.000M2</t>
  </si>
  <si>
    <t>M2</t>
  </si>
  <si>
    <t>SONDAGEM A PERCUSSÃO (INCLUSO RELATÓRIO)</t>
  </si>
  <si>
    <t>M</t>
  </si>
  <si>
    <t>PROJETO EXECUTIVO</t>
  </si>
  <si>
    <t>EXECUÇÃO DA OBRA DE DRENAGEM</t>
  </si>
  <si>
    <t>ADMINISTRAÇÃO DE OBRA</t>
  </si>
  <si>
    <t>SINAPI</t>
  </si>
  <si>
    <t>SERVIÇOS PRELIMINARES</t>
  </si>
  <si>
    <t>FORNECIMENTO E INSTALAÇÃO DE PLACA DE OBRA COM CHAPA GALVANIZADA E ESTRUTURA DE MADEIRA. AF_03/2022_PS</t>
  </si>
  <si>
    <t>ED-50155</t>
  </si>
  <si>
    <t>LOCAÇÃO DE BANHEIRO QUÍMICO, DIMENSÃO ( 110X120X230)CM, LINHA PADRÃO, CONTENDO UMA (1) PIA/ HIGIENIZADOR DE MÃOS, INCLUSIVE MANUTENÇÃO E MOBILIZAÇÃO/ DESMOBILIZAÇÃO</t>
  </si>
  <si>
    <t>mês</t>
  </si>
  <si>
    <t>MOBILIZAÇÃO E DESMOBILIZAÇÃO</t>
  </si>
  <si>
    <t>REMOÇÕES/DEMOLIÇÕES</t>
  </si>
  <si>
    <t>ASSENTAMENTO DE TUBO DE CONCRETO PARA REDES COLETORAS DE ÁGUAS PLUVIAIS, DIÂMETRO DE 1500 MM, JUNTA RÍGIDA, INSTALADO EM LOCAL COM ALTO NÍVEL DE INTERFERÊNCIAS (NÃO INCLUI FORNECIMENTO). AF_03/2024</t>
  </si>
  <si>
    <t>DEMOLIÇÃO PARCIAL DE PAVIMENTO ASFÁLTICO, DE FORMA MECANIZADA, SEM REAPROVEITAMENTO. AF_09/2023</t>
  </si>
  <si>
    <t>DEMOLIÇÃO DE GUIAS, SARJETAS OU SARJETÕES, DE FORMA MECANIZADA, SEM REAPROVEITAMENTO. AF_09/2023</t>
  </si>
  <si>
    <t>CARGA, MANOBRA E DESCARGA DE ENTULHO EM CAMINHÃO BASCULANTE 10 M³ - CARGA COM ESCAVADEIRA HIDRÁULICA  (CAÇAMBA DE 0,80 M³ / 111 HP) E DESCARGA LIVRE (UNIDADE: M3). AF_07/2020</t>
  </si>
  <si>
    <t>M3</t>
  </si>
  <si>
    <t>TRANSPORTE COM CAMINHÃO BASCULANTE DE 10 M³, EM VIA URBANA PAVIMENTADA, DMT ATÉ 30 KM (UNIDADE: M3XKM). AF_07/2020</t>
  </si>
  <si>
    <t>M3XKM</t>
  </si>
  <si>
    <t>MOVIMENTAÇÃO DE SOLOS E MATERIAIS GRANULARES</t>
  </si>
  <si>
    <t>ESCAVAÇÃO MECANIZADA DE VALA COM PROF. DE 3,0 M ATÉ 4,5 M (MÉDIA MONTANTE E JUSANTE/UMA COMPOSIÇÃO POR TRECHO), ESCAVADEIRA (1,2 M3), LARG. DE 1,5 M A 2,5 M, EM SOLO MOLE, EM LOCAIS COM ALTO NÍVEL DE INTERFERÊNCIA. AF_09/2024</t>
  </si>
  <si>
    <t>LASTRO E REATERRO COM MATERIAL GRANULAR (PEDRA RACHÃO)</t>
  </si>
  <si>
    <t>LASTRO COM MATERIAL GRANULAR (PEDRA BRITADA N.1 E PEDRA BRITADA N.2), APLICADO EM PISOS OU LAJES SOBRE SOLO, ESPESSURA DE *10 CM*. AF_01/2024</t>
  </si>
  <si>
    <t>ESTRUTURAS DE CONCRETO</t>
  </si>
  <si>
    <t>FABRICAÇÃO, MONTAGEM E DESMONTAGEM DE FORMA PARA RADIER, PISO DE CONCRETO OU LAJE SOBRE SOLO, EM MADEIRA SERRADA, 4 UTILIZAÇÕES. AF_09/2021</t>
  </si>
  <si>
    <t>ARMAÇÃO PARA EXECUÇÃO DE RADIER, PISO DE CONCRETO OU LAJE SOBRE SOLO, COM USO DE TELA Q-196. AF_09/2021</t>
  </si>
  <si>
    <t>KG</t>
  </si>
  <si>
    <t>TRANSPORTE COM CAMINHÃO BASCULANTE DE 6 M³, EM VIA URBANA PAVIMENTADA, DMT ATÉ 30 KM (UNIDADE: M3XKM). AF_07/2020</t>
  </si>
  <si>
    <t>MONTAGEM E DESMONTAGEM DE FÔRMA DE PILARES RETANGULARES E ESTRUTURAS SIMILARES, PÉ-DIREITO SIMPLES, EM MADEIRA SERRADA, 4 UTILIZAÇÕES. AF_09/2020</t>
  </si>
  <si>
    <t>CONCRETAGEM DE PILARES, FCK = 25 MPA, COM USO DE BOMBA - LANÇAMENTO, ADENSAMENTO E ACABAMENTO. AF_02/2022_PS</t>
  </si>
  <si>
    <t>SERVIÇOS COMPLEMENTARES</t>
  </si>
  <si>
    <t>POÇO DE VISITA 3,00m x 3,00m EM BLOCO DE CONCRETO, INCLUSO SOBRE-TAMPA, PROLONGADOR E TAMPA DE CONCRETO ARMADO PRÉ-MOLDADO - CONSIDERANDO TAMPÃO F°F° DN 600</t>
  </si>
  <si>
    <t>PAVIMENTAÇÃO</t>
  </si>
  <si>
    <t>REGULARIZAÇÃO E COMPACTAÇÃO DE SUBLEITO DE SOLO PREDOMINANTEMENTE ARGILOSO, PARA OBRAS DE CONSTRUÇÃO DE PAVIMENTOS. AF_09/2024</t>
  </si>
  <si>
    <t>CONSTRUÇÃO DE BASE E SUB-BASE PARA PAVIMENTAÇÃO DE BRITA GRADUADA SIMPLES, COM ESPESSURA DE 15 CM - EXCLUSIVE CARGA E TRANSPORTE. AF_09/2024</t>
  </si>
  <si>
    <t>ASSENTAMENTO DE GUIA (MEIO-FIO) EM TRECHO RETO, CONFECCIONADA EM CONCRETO PRÉ-FABRICADO, DIMENSÕES 100X15X13X30 CM (COMPRIMENTO X BASE INFERIOR X BASE SUPERIOR X ALTURA). AF_01/2024</t>
  </si>
  <si>
    <t>IMPRIMAÇÃO ASFÁLTICA (ASFALTO CM 30)</t>
  </si>
  <si>
    <t>TCE 006</t>
  </si>
  <si>
    <t>EXECUÇÃO DE PAVIMENTO COM APLICAÇÃO DE CONCRETO ASFÁLTICO, CAMADA DE ROLAMENTO - EXCLUSIVE CARGA E TRANSPORTE (E=5CM)</t>
  </si>
  <si>
    <t>BDI:</t>
  </si>
  <si>
    <t>A</t>
  </si>
  <si>
    <t>B</t>
  </si>
  <si>
    <t>C</t>
  </si>
  <si>
    <t>LEVANTAMENTO PLANIALTIMÉTRICO E CADASTRAL DE ÁREA URBANA E RURAL ATÉ 2.001</t>
  </si>
  <si>
    <t>SINALIZAÇÃO</t>
  </si>
  <si>
    <t>SUDECAP</t>
  </si>
  <si>
    <t>01.11.08</t>
  </si>
  <si>
    <t>SINALIZAÇAO - SINALIZADOR ELET.MONOLIGHT LED 60 A 70 FLASHES/MIN</t>
  </si>
  <si>
    <t>SICRO</t>
  </si>
  <si>
    <t>SERVIÇO DE INSTALAÇÃO E POSTERIOR REMOÇÃO DE SINALIZAÇÃO EM TELA PLÁSTICA LARANJA FIXADA EM SUPORTES</t>
  </si>
  <si>
    <t>CONE DE SINALIZACAO EM PVC RIGIDO COM FAIXA REFLETIVA, H = 70 / 76 CM</t>
  </si>
  <si>
    <t>TOTAL</t>
  </si>
  <si>
    <t>EXECUÇÃO DE PINTURA DE LIGAÇÃO COM EMULSÃO ASÁLTICA RR-2C</t>
  </si>
  <si>
    <t>CPU 10 - TRECHO 4</t>
  </si>
  <si>
    <t>FITA ZEBRADA PARA DISPOSITIVOS DE CANALIZAÇÃO DE TRÂNSITO - FORNECIMENTO, IMPLANTAÇÃO E RETIRADA</t>
  </si>
  <si>
    <t>PLACA DE ADVERTÊNCIA PARA SINALIZAÇÃO DE OBRAS MONTADA EM SUPORTE METÁLICO MÓVEL, LADO 1,00M - UTILIZAÇÃO DE 600 CICLOS - FORNECIMENTO, 01 IMPLANTAÇÃO E 01 RETIRADA DIÁRIA</t>
  </si>
  <si>
    <t>CONE DE SINALIZACAO EM PVC RIGIDO COM FAIXA REFLETIVA, H = 70 / 76CM</t>
  </si>
  <si>
    <t>REMOÇÃO DE TUBO DE CONCRETO DE REDES COLETORAS DE ÁGUAS PLUVIAIS, DIÂMETRO DE 800 MM, JUNTA RÍGIDA.</t>
  </si>
  <si>
    <t>%</t>
  </si>
  <si>
    <t>Sem Desoneração</t>
  </si>
  <si>
    <t>TRANSPORTE COM CAMINHÃO BASCULANTE DE 14 M³, EM VIA URBANA PAVIMENTADA, DMT ATÉ 30 KM (UNIDADE: M3XKM). AF_07/2020</t>
  </si>
  <si>
    <t>CARGA, MANOBRA E DESCARGA DE SOLOS E MATERIAIS GRANULARES EM CAMINHÃO BASCULANTE 14 M³ - CARGA COM ESCAVADEIRA HIDRÁULICA (CAÇAMBA DE 1,20 M³ / 155 HP) E DESCARGA LIVRE (UNIDADE: M3). AF_07/2020</t>
  </si>
  <si>
    <t>SICOR - MG</t>
  </si>
  <si>
    <t>ESCAVAÇÃO DA VALA</t>
  </si>
  <si>
    <t>BASE DE RACHÃO (80CM)</t>
  </si>
  <si>
    <t>BASE PEDRA BRITADA (10CM)</t>
  </si>
  <si>
    <t>PREENCHIMENTO/ REATERRO DA VALA</t>
  </si>
  <si>
    <t>ATERRO MECANIZADO DE VALA COM ESCAVADEIRA HIDRÁULICA (CAPACIDADE DA CAÇAMBA: 0,8 M³/POTÊNCIA: 111 HP), LARGURA ATÉ 2,5 M, PROFUNDIDADE DE 3,0 A 6,0 M, COM SOLO ARGILO-ARENOSO. AF_08/2023</t>
  </si>
  <si>
    <t>EXECUÇÃO DO RADIER</t>
  </si>
  <si>
    <t>EXECUÇÃO DE RADIER, ESPESSURA DE 15 CM, FCK = 30 MPA, COM USO DE FORMAS EM MADEIRA SERRADA. AF_09/2021</t>
  </si>
  <si>
    <t>LANÇAMENTO COM USO DE BOMBA, ADENSAMENTO E ACABAMENTO DE CONCRETO EM ESTRUTURAS. AF_02/2022</t>
  </si>
  <si>
    <t>ASSENTAMENTO DAS ADUELAS</t>
  </si>
  <si>
    <t>ADUELA/ GALERIA FECHADA PRE-MOLDADA DE CONCRETO ARMADO, SECAO QUADRANGULAR INTERNA DE 2,00 X 2,00 M (L X A), MISULA DE 20 X 20 CM, C = 1,00 M, ESPESSURA MIN = 15 CM, TB-45 E FCK DO CONCRETO = 30 MPA FORNECIMENTO E ASSENTAMENTO. AF_01/2023</t>
  </si>
  <si>
    <t>EXECUÇÃO DAS JUNTAS DA ADUELA</t>
  </si>
  <si>
    <t>EXECUÇÃO DA LAJE DE DISTRIBUIÇÃO</t>
  </si>
  <si>
    <t>Concreto magro - confecção em betoneira e lançamento manual - areia e brita comerciais</t>
  </si>
  <si>
    <t>CONCRETAGEM DE RADIER, PISO DE CONCRETO OU LAJE SOBRE SOLO, FCK 30 MPA - LANÇAMENTO, ADENSAMENTO E ACABAMENTO. AF_09/2021</t>
  </si>
  <si>
    <t>ARMAÇÃO DE MURO ALA E MURO TESTA UTILIZANDO AÇO CA-50 DE 10 MM - MONTAGEM. AF_07/2021</t>
  </si>
  <si>
    <t>ARMAÇÃO DE MURO ALA E MURO TESTA UTILIZANDO AÇO CA-50 DE 12,5 MM - MONTAGEM. AF_07/2021</t>
  </si>
  <si>
    <t>ARMAÇÃO DE MURO ALA E MURO TESTA UTILIZANDO AÇO CA-50 DE 6,3 MM - MONTAGEM. AF_07/2021</t>
  </si>
  <si>
    <t>EXECUÇÃO DAS ALAS (2 UNIDADES)</t>
  </si>
  <si>
    <t>ARMAÇÃO DE MURO ALA E MURO TESTA UTILIZANDO AÇO CA-50 DE 8 MM - MONTAGEM. AF_07/2021</t>
  </si>
  <si>
    <t>EXECUÇÃO DOS POÇOS DE VISITAS (2 UNIDADES)</t>
  </si>
  <si>
    <t>DEMOLIÇÃO DE ALVENARIA PARA QUALQUER TIPO DE BLOCO, DE FORMA MECANIZADA, SEM REAPROVEITAMENTO. AF_09/2023</t>
  </si>
  <si>
    <t>EXECUÇÃO DAS ALAS (4 UNIDADES)</t>
  </si>
  <si>
    <t>SICOR-MG</t>
  </si>
  <si>
    <t>TRAVESSIA TRECHO 4</t>
  </si>
  <si>
    <t>TRAVESSIAS TRECHOS 05, 06, 07 E 08</t>
  </si>
  <si>
    <t>CPU01 T4</t>
  </si>
  <si>
    <t>CPU02 T4</t>
  </si>
  <si>
    <t>CPU03 T4</t>
  </si>
  <si>
    <t>CPU04 T4</t>
  </si>
  <si>
    <t>CPU05 T4</t>
  </si>
  <si>
    <t>CPU08 T4</t>
  </si>
  <si>
    <t>CPU09 T4</t>
  </si>
  <si>
    <t>CPU06 T4</t>
  </si>
  <si>
    <t>CPU07 T4</t>
  </si>
  <si>
    <t>CPU01 T5-8</t>
  </si>
  <si>
    <t>CPU02 T5-8</t>
  </si>
  <si>
    <t>CPU03 T5-8</t>
  </si>
  <si>
    <t>CPU04 T5-8</t>
  </si>
  <si>
    <t>CPU05 T5-8</t>
  </si>
  <si>
    <t>CPU06 T5-8</t>
  </si>
  <si>
    <t>CPU08 T5-8</t>
  </si>
  <si>
    <t>CPU09 T5-8</t>
  </si>
  <si>
    <t>CPU10 T5-8</t>
  </si>
  <si>
    <t>CPU11 T5-8</t>
  </si>
  <si>
    <t>CPU11 T4</t>
  </si>
  <si>
    <t>ADMINISTRAÇÃO LOCAL TRECHO 4</t>
  </si>
  <si>
    <t>MÊS</t>
  </si>
  <si>
    <t>CPU12 T5-8</t>
  </si>
  <si>
    <t>ADMINISTRAÇÃO LOCAL TRECHOS 5, 6, 7 E 8</t>
  </si>
  <si>
    <t xml:space="preserve">ADMINISTRAÇÃO LOCAL </t>
  </si>
  <si>
    <t>D</t>
  </si>
  <si>
    <t>D.1</t>
  </si>
  <si>
    <t>D.2</t>
  </si>
  <si>
    <t>D.3</t>
  </si>
  <si>
    <t>D.4</t>
  </si>
  <si>
    <t>D.4.1</t>
  </si>
  <si>
    <t>D.4.2</t>
  </si>
  <si>
    <t>D.4.3</t>
  </si>
  <si>
    <t>D.4.4</t>
  </si>
  <si>
    <t>D.5</t>
  </si>
  <si>
    <t>D.5.1</t>
  </si>
  <si>
    <t>E</t>
  </si>
  <si>
    <t>F</t>
  </si>
  <si>
    <t>G</t>
  </si>
  <si>
    <t>G.1</t>
  </si>
  <si>
    <t>G.2</t>
  </si>
  <si>
    <t>G.3</t>
  </si>
  <si>
    <t>G.4</t>
  </si>
  <si>
    <t>G.4.1</t>
  </si>
  <si>
    <t>G.4.2</t>
  </si>
  <si>
    <t>G.4.4</t>
  </si>
  <si>
    <t>G.5</t>
  </si>
  <si>
    <t>G.5.1</t>
  </si>
  <si>
    <t>G.5.2</t>
  </si>
  <si>
    <t>G.6</t>
  </si>
  <si>
    <t>G.7</t>
  </si>
  <si>
    <t>D.6</t>
  </si>
  <si>
    <t>D.7</t>
  </si>
  <si>
    <t>D.3.1</t>
  </si>
  <si>
    <t>D.3.2</t>
  </si>
  <si>
    <t>D.3.3</t>
  </si>
  <si>
    <t>D.3.4</t>
  </si>
  <si>
    <t>G.3.1</t>
  </si>
  <si>
    <t>G.3.2</t>
  </si>
  <si>
    <t>G.3.3</t>
  </si>
  <si>
    <t>G.3.4</t>
  </si>
  <si>
    <t>SUBMETA 1</t>
  </si>
  <si>
    <t>SUBMETA 2</t>
  </si>
  <si>
    <t>SUBMETA 3</t>
  </si>
  <si>
    <t>ESCORAMENTO DE VALA, TIPO BLINDAGEM, COM PROFUNDIDADE DE 3,0 A 4,5 M, LARGURA MAIOR OU IGUAL A 1,5 M E MENOR QUE 2,5 M - EXECUÇÃO, COM MATERIAL.</t>
  </si>
  <si>
    <r>
      <rPr>
        <b/>
        <sz val="11"/>
        <color rgb="FF000000"/>
        <rFont val="Times New Roman"/>
        <family val="1"/>
      </rPr>
      <t xml:space="preserve">Bancos: </t>
    </r>
    <r>
      <rPr>
        <sz val="11"/>
        <color rgb="FF000000"/>
        <rFont val="Times New Roman"/>
        <family val="1"/>
      </rPr>
      <t>SINAPI-RS: 04/2026</t>
    </r>
    <r>
      <rPr>
        <b/>
        <sz val="11"/>
        <color rgb="FF000000"/>
        <rFont val="Times New Roman"/>
        <family val="1"/>
      </rPr>
      <t xml:space="preserve">; </t>
    </r>
    <r>
      <rPr>
        <sz val="11"/>
        <color rgb="FF000000"/>
        <rFont val="Times New Roman"/>
        <family val="1"/>
      </rPr>
      <t xml:space="preserve">SICRO-RS: 01/2026; SUDECAP-MG: 01/2026; SICOR-MG: 01/2026; ANP: 03/2026; EMOP-RJ 04/2026; SIURB-SP: 01/2026; </t>
    </r>
  </si>
  <si>
    <t>G.4.3</t>
  </si>
  <si>
    <t>CPU 07 T5-8</t>
  </si>
  <si>
    <t>PAC DRENAGEM - META 01- 
TRAVESSIAS CAJU TRECHOS 4,5,6,7 e 8</t>
  </si>
  <si>
    <t xml:space="preserve">Encargos Sociais:
Horista: 111,95%
Mensalista: 69,29%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</si>
</sst>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%"/>
    <numFmt numFmtId="176" formatCode="_-* #,##0.0_-;\-* #,##0.0_-;_-* &quot;-&quot;??_-;_-@_-"/>
  </numFmts>
  <fonts count="21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sz val="11"/>
      <name val="Arial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20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8"/>
      <name val="Calibri"/>
      <family val="2"/>
    </font>
    <font>
      <sz val="12"/>
      <color rgb="FF000000"/>
      <name val="Calibri"/>
      <family val="2"/>
    </font>
    <font>
      <sz val="10"/>
      <name val="Arial"/>
      <family val="2"/>
    </font>
    <font>
      <b/>
      <sz val="12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C7C7C7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DDDDD"/>
        <bgColor indexed="64"/>
      </patternFill>
    </fill>
  </fills>
  <borders count="30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14999847407452621"/>
      </left>
      <right style="thin">
        <color theme="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theme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medium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theme="0" tint="-0.14999847407452621"/>
      </top>
      <bottom/>
      <diagonal/>
    </border>
    <border>
      <left style="thin">
        <color indexed="64"/>
      </left>
      <right style="medium">
        <color indexed="64"/>
      </right>
      <top/>
      <bottom style="thin">
        <color theme="0" tint="-0.14999847407452621"/>
      </bottom>
      <diagonal/>
    </border>
    <border>
      <left style="medium">
        <color indexed="64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 style="medium">
        <color indexed="64"/>
      </left>
      <right style="thin">
        <color theme="0" tint="-0.14999847407452621"/>
      </right>
      <top style="thin">
        <color indexed="64"/>
      </top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indexed="64"/>
      </top>
      <bottom style="medium">
        <color indexed="64"/>
      </bottom>
      <diagonal/>
    </border>
    <border>
      <left style="thin">
        <color theme="0" tint="-0.14999847407452621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7" fillId="0" borderId="0"/>
    <xf numFmtId="44" fontId="2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9" fillId="0" borderId="0"/>
  </cellStyleXfs>
  <cellXfs count="206">
    <xf numFmtId="0" fontId="0" fillId="0" borderId="0" xfId="0"/>
    <xf numFmtId="0" fontId="1" fillId="0" borderId="0" xfId="0" applyFont="1"/>
    <xf numFmtId="0" fontId="0" fillId="5" borderId="0" xfId="0" applyFill="1"/>
    <xf numFmtId="0" fontId="1" fillId="8" borderId="0" xfId="0" applyFont="1" applyFill="1"/>
    <xf numFmtId="0" fontId="5" fillId="0" borderId="0" xfId="0" applyFont="1"/>
    <xf numFmtId="44" fontId="5" fillId="4" borderId="4" xfId="0" applyNumberFormat="1" applyFont="1" applyFill="1" applyBorder="1" applyAlignment="1">
      <alignment horizontal="center" vertical="center"/>
    </xf>
    <xf numFmtId="0" fontId="16" fillId="0" borderId="0" xfId="0" applyFont="1"/>
    <xf numFmtId="0" fontId="15" fillId="12" borderId="0" xfId="0" applyFont="1" applyFill="1"/>
    <xf numFmtId="0" fontId="13" fillId="0" borderId="0" xfId="0" applyFont="1"/>
    <xf numFmtId="0" fontId="15" fillId="0" borderId="0" xfId="0" applyFont="1"/>
    <xf numFmtId="0" fontId="18" fillId="5" borderId="0" xfId="0" applyFont="1" applyFill="1"/>
    <xf numFmtId="44" fontId="0" fillId="5" borderId="0" xfId="0" applyNumberFormat="1" applyFill="1"/>
    <xf numFmtId="0" fontId="2" fillId="12" borderId="0" xfId="0" applyFont="1" applyFill="1"/>
    <xf numFmtId="0" fontId="2" fillId="0" borderId="0" xfId="0" applyFont="1"/>
    <xf numFmtId="44" fontId="6" fillId="4" borderId="8" xfId="0" applyNumberFormat="1" applyFont="1" applyFill="1" applyBorder="1" applyAlignment="1">
      <alignment horizontal="center" vertical="center"/>
    </xf>
    <xf numFmtId="44" fontId="5" fillId="4" borderId="8" xfId="0" applyNumberFormat="1" applyFont="1" applyFill="1" applyBorder="1" applyAlignment="1">
      <alignment horizontal="center" vertical="center"/>
    </xf>
    <xf numFmtId="44" fontId="5" fillId="4" borderId="9" xfId="0" applyNumberFormat="1" applyFont="1" applyFill="1" applyBorder="1" applyAlignment="1">
      <alignment horizontal="center" vertical="center"/>
    </xf>
    <xf numFmtId="44" fontId="5" fillId="0" borderId="8" xfId="0" applyNumberFormat="1" applyFont="1" applyBorder="1" applyAlignment="1">
      <alignment horizontal="center" vertical="center"/>
    </xf>
    <xf numFmtId="43" fontId="5" fillId="0" borderId="8" xfId="1" applyFont="1" applyFill="1" applyBorder="1" applyAlignment="1">
      <alignment horizontal="center" vertical="center"/>
    </xf>
    <xf numFmtId="43" fontId="1" fillId="0" borderId="0" xfId="0" applyNumberFormat="1" applyFont="1"/>
    <xf numFmtId="0" fontId="14" fillId="0" borderId="0" xfId="0" applyFont="1"/>
    <xf numFmtId="43" fontId="5" fillId="0" borderId="8" xfId="0" applyNumberFormat="1" applyFont="1" applyBorder="1" applyAlignment="1">
      <alignment horizontal="center" vertical="center"/>
    </xf>
    <xf numFmtId="43" fontId="16" fillId="0" borderId="0" xfId="0" applyNumberFormat="1" applyFont="1"/>
    <xf numFmtId="10" fontId="20" fillId="6" borderId="13" xfId="3" applyNumberFormat="1" applyFont="1" applyFill="1" applyBorder="1" applyAlignment="1" applyProtection="1">
      <alignment horizontal="center" vertical="center"/>
      <protection locked="0"/>
    </xf>
    <xf numFmtId="44" fontId="8" fillId="10" borderId="1" xfId="2" applyFont="1" applyFill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center" vertical="center"/>
    </xf>
    <xf numFmtId="43" fontId="8" fillId="0" borderId="1" xfId="1" applyFont="1" applyBorder="1" applyAlignment="1" applyProtection="1">
      <alignment horizontal="center" vertical="center"/>
    </xf>
    <xf numFmtId="44" fontId="8" fillId="0" borderId="1" xfId="2" applyFont="1" applyBorder="1" applyAlignment="1" applyProtection="1">
      <alignment horizontal="center" vertical="center"/>
    </xf>
    <xf numFmtId="44" fontId="4" fillId="0" borderId="1" xfId="2" applyFont="1" applyBorder="1" applyAlignment="1" applyProtection="1">
      <alignment horizontal="center" vertical="center"/>
    </xf>
    <xf numFmtId="44" fontId="8" fillId="0" borderId="4" xfId="2" applyFont="1" applyBorder="1" applyAlignment="1" applyProtection="1">
      <alignment horizontal="center" vertical="center"/>
    </xf>
    <xf numFmtId="10" fontId="4" fillId="0" borderId="21" xfId="3" applyNumberFormat="1" applyFont="1" applyBorder="1" applyAlignment="1" applyProtection="1">
      <alignment horizontal="center" vertical="center"/>
    </xf>
    <xf numFmtId="0" fontId="4" fillId="0" borderId="25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left" vertical="center" wrapText="1"/>
    </xf>
    <xf numFmtId="0" fontId="4" fillId="0" borderId="5" xfId="0" applyFont="1" applyBorder="1" applyAlignment="1" applyProtection="1">
      <alignment horizontal="center" vertical="center"/>
    </xf>
    <xf numFmtId="43" fontId="8" fillId="0" borderId="5" xfId="1" applyFont="1" applyBorder="1" applyAlignment="1" applyProtection="1">
      <alignment horizontal="center" vertical="center"/>
    </xf>
    <xf numFmtId="44" fontId="8" fillId="0" borderId="5" xfId="2" applyFont="1" applyBorder="1" applyAlignment="1" applyProtection="1">
      <alignment horizontal="center" vertical="center"/>
    </xf>
    <xf numFmtId="44" fontId="5" fillId="0" borderId="5" xfId="2" applyFont="1" applyBorder="1" applyAlignment="1" applyProtection="1">
      <alignment horizontal="center" vertical="center"/>
    </xf>
    <xf numFmtId="44" fontId="13" fillId="0" borderId="7" xfId="2" applyFont="1" applyBorder="1" applyAlignment="1" applyProtection="1">
      <alignment horizontal="center" vertical="center"/>
    </xf>
    <xf numFmtId="10" fontId="4" fillId="0" borderId="23" xfId="0" applyNumberFormat="1" applyFont="1" applyBorder="1" applyAlignment="1" applyProtection="1">
      <alignment horizontal="center" vertical="center"/>
    </xf>
    <xf numFmtId="0" fontId="5" fillId="5" borderId="26" xfId="0" applyFont="1" applyFill="1" applyBorder="1" applyAlignment="1" applyProtection="1">
      <alignment horizontal="center" vertical="center" wrapText="1"/>
    </xf>
    <xf numFmtId="0" fontId="5" fillId="5" borderId="27" xfId="0" applyFont="1" applyFill="1" applyBorder="1" applyAlignment="1" applyProtection="1">
      <alignment horizontal="center" vertical="center" wrapText="1"/>
    </xf>
    <xf numFmtId="43" fontId="13" fillId="5" borderId="27" xfId="1" applyFont="1" applyFill="1" applyBorder="1" applyAlignment="1" applyProtection="1">
      <alignment horizontal="center" vertical="center" wrapText="1"/>
    </xf>
    <xf numFmtId="0" fontId="13" fillId="5" borderId="27" xfId="0" applyFont="1" applyFill="1" applyBorder="1" applyAlignment="1" applyProtection="1">
      <alignment horizontal="center" vertical="center" wrapText="1"/>
    </xf>
    <xf numFmtId="0" fontId="6" fillId="5" borderId="27" xfId="0" applyFont="1" applyFill="1" applyBorder="1" applyAlignment="1" applyProtection="1">
      <alignment horizontal="right" vertical="center" wrapText="1"/>
    </xf>
    <xf numFmtId="44" fontId="20" fillId="5" borderId="28" xfId="0" applyNumberFormat="1" applyFont="1" applyFill="1" applyBorder="1" applyAlignment="1" applyProtection="1">
      <alignment horizontal="center" vertical="center" wrapText="1"/>
    </xf>
    <xf numFmtId="10" fontId="6" fillId="5" borderId="29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 wrapText="1"/>
    </xf>
    <xf numFmtId="43" fontId="8" fillId="0" borderId="0" xfId="1" applyFont="1" applyBorder="1" applyAlignment="1" applyProtection="1">
      <alignment horizontal="center" vertical="center"/>
    </xf>
    <xf numFmtId="44" fontId="8" fillId="0" borderId="0" xfId="2" applyFont="1" applyBorder="1" applyAlignment="1" applyProtection="1">
      <alignment horizontal="center" vertical="center"/>
    </xf>
    <xf numFmtId="44" fontId="4" fillId="0" borderId="0" xfId="2" applyFont="1" applyBorder="1" applyAlignment="1" applyProtection="1">
      <alignment horizontal="center" vertical="center"/>
    </xf>
    <xf numFmtId="44" fontId="8" fillId="0" borderId="0" xfId="2" applyFont="1" applyFill="1" applyBorder="1" applyAlignment="1" applyProtection="1">
      <alignment horizontal="left" vertical="center"/>
    </xf>
    <xf numFmtId="44" fontId="4" fillId="0" borderId="0" xfId="2" applyFont="1" applyFill="1" applyBorder="1" applyAlignment="1" applyProtection="1">
      <alignment horizontal="center" vertical="center"/>
    </xf>
    <xf numFmtId="44" fontId="8" fillId="0" borderId="0" xfId="2" applyFont="1" applyFill="1" applyBorder="1" applyAlignment="1" applyProtection="1">
      <alignment horizontal="center" vertical="center"/>
    </xf>
    <xf numFmtId="44" fontId="4" fillId="0" borderId="0" xfId="0" applyNumberFormat="1" applyFont="1" applyAlignment="1" applyProtection="1">
      <alignment horizontal="center" vertical="center"/>
    </xf>
    <xf numFmtId="44" fontId="4" fillId="0" borderId="0" xfId="2" applyFont="1" applyFill="1" applyAlignment="1" applyProtection="1">
      <alignment horizontal="center" vertical="center"/>
    </xf>
    <xf numFmtId="44" fontId="8" fillId="0" borderId="0" xfId="2" applyFont="1" applyFill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43" fontId="8" fillId="0" borderId="0" xfId="1" applyFont="1" applyAlignment="1" applyProtection="1">
      <alignment horizontal="center" vertical="center"/>
    </xf>
    <xf numFmtId="44" fontId="8" fillId="0" borderId="0" xfId="2" applyFont="1" applyAlignment="1" applyProtection="1">
      <alignment horizontal="center" vertical="center"/>
    </xf>
    <xf numFmtId="44" fontId="4" fillId="0" borderId="0" xfId="2" applyFont="1" applyAlignment="1" applyProtection="1">
      <alignment horizontal="center" vertical="center"/>
    </xf>
    <xf numFmtId="44" fontId="4" fillId="0" borderId="1" xfId="2" applyFont="1" applyFill="1" applyBorder="1" applyAlignment="1" applyProtection="1">
      <alignment horizontal="center" vertical="center"/>
    </xf>
    <xf numFmtId="44" fontId="8" fillId="0" borderId="4" xfId="2" applyFont="1" applyFill="1" applyBorder="1" applyAlignment="1" applyProtection="1">
      <alignment horizontal="center" vertical="center"/>
    </xf>
    <xf numFmtId="164" fontId="4" fillId="0" borderId="21" xfId="3" applyNumberFormat="1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vertical="center" wrapText="1"/>
    </xf>
    <xf numFmtId="176" fontId="8" fillId="0" borderId="1" xfId="1" applyNumberFormat="1" applyFont="1" applyFill="1" applyBorder="1" applyAlignment="1" applyProtection="1">
      <alignment horizontal="center" vertical="center"/>
    </xf>
    <xf numFmtId="0" fontId="5" fillId="4" borderId="20" xfId="0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left" vertical="center" wrapText="1"/>
    </xf>
    <xf numFmtId="43" fontId="13" fillId="4" borderId="1" xfId="1" applyFont="1" applyFill="1" applyBorder="1" applyAlignment="1" applyProtection="1">
      <alignment horizontal="center" vertical="center"/>
    </xf>
    <xf numFmtId="4" fontId="13" fillId="4" borderId="1" xfId="0" applyNumberFormat="1" applyFont="1" applyFill="1" applyBorder="1" applyAlignment="1" applyProtection="1">
      <alignment horizontal="center" vertical="center"/>
    </xf>
    <xf numFmtId="4" fontId="5" fillId="4" borderId="1" xfId="0" applyNumberFormat="1" applyFont="1" applyFill="1" applyBorder="1" applyAlignment="1" applyProtection="1">
      <alignment horizontal="center" vertical="center"/>
    </xf>
    <xf numFmtId="44" fontId="13" fillId="4" borderId="4" xfId="0" applyNumberFormat="1" applyFont="1" applyFill="1" applyBorder="1" applyAlignment="1" applyProtection="1">
      <alignment horizontal="center" vertical="center"/>
    </xf>
    <xf numFmtId="10" fontId="5" fillId="9" borderId="21" xfId="3" applyNumberFormat="1" applyFont="1" applyFill="1" applyBorder="1" applyAlignment="1" applyProtection="1">
      <alignment horizontal="center" vertical="center"/>
    </xf>
    <xf numFmtId="0" fontId="4" fillId="0" borderId="20" xfId="0" applyFont="1" applyBorder="1" applyAlignment="1" applyProtection="1">
      <alignment vertical="center"/>
    </xf>
    <xf numFmtId="0" fontId="4" fillId="0" borderId="1" xfId="0" applyFont="1" applyBorder="1" applyAlignment="1" applyProtection="1">
      <alignment vertical="center"/>
    </xf>
    <xf numFmtId="43" fontId="8" fillId="0" borderId="1" xfId="1" applyFont="1" applyBorder="1" applyAlignment="1" applyProtection="1">
      <alignment vertical="center"/>
    </xf>
    <xf numFmtId="0" fontId="8" fillId="0" borderId="1" xfId="0" applyFont="1" applyBorder="1" applyAlignment="1" applyProtection="1">
      <alignment vertical="center"/>
    </xf>
    <xf numFmtId="0" fontId="8" fillId="0" borderId="4" xfId="0" applyFont="1" applyBorder="1" applyAlignment="1" applyProtection="1">
      <alignment vertical="center"/>
    </xf>
    <xf numFmtId="10" fontId="5" fillId="0" borderId="21" xfId="3" applyNumberFormat="1" applyFont="1" applyFill="1" applyBorder="1" applyAlignment="1" applyProtection="1">
      <alignment horizontal="center" vertical="center"/>
    </xf>
    <xf numFmtId="10" fontId="8" fillId="0" borderId="21" xfId="3" applyNumberFormat="1" applyFont="1" applyBorder="1" applyAlignment="1" applyProtection="1">
      <alignment horizontal="center" vertical="center"/>
    </xf>
    <xf numFmtId="0" fontId="8" fillId="0" borderId="20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left" vertical="center" wrapText="1"/>
    </xf>
    <xf numFmtId="0" fontId="8" fillId="0" borderId="1" xfId="0" applyFont="1" applyBorder="1" applyAlignment="1" applyProtection="1">
      <alignment horizontal="center" vertical="center"/>
    </xf>
    <xf numFmtId="43" fontId="8" fillId="0" borderId="1" xfId="1" applyFont="1" applyFill="1" applyBorder="1" applyAlignment="1" applyProtection="1">
      <alignment horizontal="center" vertical="center"/>
    </xf>
    <xf numFmtId="176" fontId="8" fillId="0" borderId="1" xfId="1" applyNumberFormat="1" applyFont="1" applyBorder="1" applyAlignment="1" applyProtection="1">
      <alignment horizontal="center" vertical="center"/>
    </xf>
    <xf numFmtId="0" fontId="13" fillId="4" borderId="20" xfId="0" applyFont="1" applyFill="1" applyBorder="1" applyAlignment="1" applyProtection="1">
      <alignment horizontal="center" vertical="center"/>
    </xf>
    <xf numFmtId="0" fontId="13" fillId="4" borderId="1" xfId="0" applyFont="1" applyFill="1" applyBorder="1" applyAlignment="1" applyProtection="1">
      <alignment horizontal="center" vertical="center" wrapText="1"/>
    </xf>
    <xf numFmtId="0" fontId="13" fillId="4" borderId="1" xfId="0" applyFont="1" applyFill="1" applyBorder="1" applyAlignment="1" applyProtection="1">
      <alignment horizontal="left" vertical="center" wrapText="1"/>
    </xf>
    <xf numFmtId="0" fontId="13" fillId="4" borderId="1" xfId="0" applyFont="1" applyFill="1" applyBorder="1" applyAlignment="1" applyProtection="1">
      <alignment horizontal="center" vertical="center"/>
    </xf>
    <xf numFmtId="44" fontId="13" fillId="4" borderId="1" xfId="2" applyFont="1" applyFill="1" applyBorder="1" applyAlignment="1" applyProtection="1">
      <alignment horizontal="center" vertical="center"/>
    </xf>
    <xf numFmtId="44" fontId="13" fillId="4" borderId="4" xfId="2" applyFont="1" applyFill="1" applyBorder="1" applyAlignment="1" applyProtection="1">
      <alignment horizontal="center" vertical="center"/>
    </xf>
    <xf numFmtId="10" fontId="13" fillId="4" borderId="21" xfId="3" applyNumberFormat="1" applyFont="1" applyFill="1" applyBorder="1" applyAlignment="1" applyProtection="1">
      <alignment horizontal="center" vertical="center"/>
    </xf>
    <xf numFmtId="0" fontId="8" fillId="0" borderId="20" xfId="0" applyFont="1" applyBorder="1" applyAlignment="1" applyProtection="1">
      <alignment vertical="center"/>
    </xf>
    <xf numFmtId="0" fontId="8" fillId="0" borderId="21" xfId="0" applyFont="1" applyBorder="1" applyAlignment="1" applyProtection="1">
      <alignment horizontal="center" vertical="center"/>
    </xf>
    <xf numFmtId="44" fontId="8" fillId="0" borderId="1" xfId="2" applyFont="1" applyFill="1" applyBorder="1" applyAlignment="1" applyProtection="1">
      <alignment horizontal="center" vertical="center"/>
    </xf>
    <xf numFmtId="0" fontId="8" fillId="12" borderId="20" xfId="0" applyFont="1" applyFill="1" applyBorder="1" applyAlignment="1" applyProtection="1">
      <alignment horizontal="center" vertical="center"/>
    </xf>
    <xf numFmtId="0" fontId="8" fillId="12" borderId="1" xfId="0" applyFont="1" applyFill="1" applyBorder="1" applyAlignment="1" applyProtection="1">
      <alignment vertical="center"/>
    </xf>
    <xf numFmtId="43" fontId="8" fillId="12" borderId="1" xfId="1" applyFont="1" applyFill="1" applyBorder="1" applyAlignment="1" applyProtection="1">
      <alignment vertical="center"/>
    </xf>
    <xf numFmtId="44" fontId="8" fillId="12" borderId="4" xfId="0" applyNumberFormat="1" applyFont="1" applyFill="1" applyBorder="1" applyAlignment="1" applyProtection="1">
      <alignment vertical="center"/>
    </xf>
    <xf numFmtId="10" fontId="8" fillId="12" borderId="21" xfId="0" applyNumberFormat="1" applyFont="1" applyFill="1" applyBorder="1" applyAlignment="1" applyProtection="1">
      <alignment horizontal="center" vertical="center"/>
    </xf>
    <xf numFmtId="164" fontId="4" fillId="0" borderId="21" xfId="3" applyNumberFormat="1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center" vertical="center" wrapText="1"/>
    </xf>
    <xf numFmtId="44" fontId="5" fillId="4" borderId="1" xfId="2" applyFont="1" applyFill="1" applyBorder="1" applyAlignment="1" applyProtection="1">
      <alignment horizontal="center" vertical="center"/>
    </xf>
    <xf numFmtId="0" fontId="5" fillId="0" borderId="21" xfId="0" applyFont="1" applyBorder="1" applyAlignment="1" applyProtection="1">
      <alignment horizontal="center" vertical="center"/>
    </xf>
    <xf numFmtId="0" fontId="5" fillId="7" borderId="20" xfId="0" applyFont="1" applyFill="1" applyBorder="1" applyAlignment="1" applyProtection="1">
      <alignment horizontal="center" vertical="center"/>
    </xf>
    <xf numFmtId="0" fontId="5" fillId="7" borderId="1" xfId="0" applyFont="1" applyFill="1" applyBorder="1" applyAlignment="1" applyProtection="1">
      <alignment horizontal="center" vertical="center" wrapText="1"/>
    </xf>
    <xf numFmtId="0" fontId="5" fillId="7" borderId="1" xfId="0" applyFont="1" applyFill="1" applyBorder="1" applyAlignment="1" applyProtection="1">
      <alignment horizontal="left" vertical="center" wrapText="1"/>
    </xf>
    <xf numFmtId="0" fontId="5" fillId="7" borderId="1" xfId="0" applyFont="1" applyFill="1" applyBorder="1" applyAlignment="1" applyProtection="1">
      <alignment horizontal="center" vertical="center"/>
    </xf>
    <xf numFmtId="43" fontId="13" fillId="7" borderId="1" xfId="1" applyFont="1" applyFill="1" applyBorder="1" applyAlignment="1" applyProtection="1">
      <alignment horizontal="center" vertical="center"/>
    </xf>
    <xf numFmtId="44" fontId="13" fillId="7" borderId="1" xfId="2" applyFont="1" applyFill="1" applyBorder="1" applyAlignment="1" applyProtection="1">
      <alignment horizontal="center" vertical="center"/>
    </xf>
    <xf numFmtId="44" fontId="5" fillId="7" borderId="1" xfId="2" applyFont="1" applyFill="1" applyBorder="1" applyAlignment="1" applyProtection="1">
      <alignment horizontal="center" vertical="center"/>
    </xf>
    <xf numFmtId="44" fontId="13" fillId="7" borderId="4" xfId="2" applyFont="1" applyFill="1" applyBorder="1" applyAlignment="1" applyProtection="1">
      <alignment horizontal="center" vertical="center"/>
    </xf>
    <xf numFmtId="10" fontId="5" fillId="7" borderId="21" xfId="3" applyNumberFormat="1" applyFont="1" applyFill="1" applyBorder="1" applyAlignment="1" applyProtection="1">
      <alignment horizontal="center" vertical="center"/>
    </xf>
    <xf numFmtId="0" fontId="4" fillId="0" borderId="21" xfId="0" applyFont="1" applyBorder="1" applyAlignment="1" applyProtection="1">
      <alignment horizontal="center" vertical="center"/>
    </xf>
    <xf numFmtId="0" fontId="4" fillId="0" borderId="15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left" vertical="center" wrapText="1"/>
    </xf>
    <xf numFmtId="4" fontId="8" fillId="0" borderId="0" xfId="0" applyNumberFormat="1" applyFont="1" applyBorder="1" applyAlignment="1" applyProtection="1">
      <alignment horizontal="center" vertical="center"/>
    </xf>
    <xf numFmtId="164" fontId="4" fillId="0" borderId="24" xfId="3" applyNumberFormat="1" applyFont="1" applyBorder="1" applyAlignment="1" applyProtection="1">
      <alignment horizontal="center" vertical="center"/>
    </xf>
    <xf numFmtId="0" fontId="6" fillId="5" borderId="20" xfId="0" applyFont="1" applyFill="1" applyBorder="1" applyAlignment="1" applyProtection="1">
      <alignment horizontal="center" vertical="center" wrapText="1"/>
    </xf>
    <xf numFmtId="0" fontId="4" fillId="5" borderId="1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left" vertical="center" wrapText="1"/>
    </xf>
    <xf numFmtId="0" fontId="4" fillId="5" borderId="1" xfId="0" applyFont="1" applyFill="1" applyBorder="1" applyAlignment="1" applyProtection="1">
      <alignment horizontal="center" vertical="center"/>
    </xf>
    <xf numFmtId="43" fontId="8" fillId="5" borderId="1" xfId="1" applyFont="1" applyFill="1" applyBorder="1" applyAlignment="1" applyProtection="1">
      <alignment horizontal="center" vertical="center"/>
    </xf>
    <xf numFmtId="44" fontId="8" fillId="5" borderId="1" xfId="2" applyFont="1" applyFill="1" applyBorder="1" applyAlignment="1" applyProtection="1">
      <alignment horizontal="center" vertical="center"/>
    </xf>
    <xf numFmtId="44" fontId="4" fillId="5" borderId="1" xfId="2" applyFont="1" applyFill="1" applyBorder="1" applyAlignment="1" applyProtection="1">
      <alignment horizontal="center" vertical="center"/>
    </xf>
    <xf numFmtId="44" fontId="20" fillId="5" borderId="4" xfId="2" applyFont="1" applyFill="1" applyBorder="1" applyAlignment="1" applyProtection="1">
      <alignment horizontal="center" vertical="center"/>
    </xf>
    <xf numFmtId="10" fontId="6" fillId="5" borderId="23" xfId="0" applyNumberFormat="1" applyFont="1" applyFill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vertical="center"/>
    </xf>
    <xf numFmtId="0" fontId="5" fillId="0" borderId="1" xfId="0" applyFont="1" applyBorder="1" applyAlignment="1" applyProtection="1">
      <alignment vertical="center"/>
    </xf>
    <xf numFmtId="43" fontId="13" fillId="0" borderId="1" xfId="1" applyFont="1" applyBorder="1" applyAlignment="1" applyProtection="1">
      <alignment vertical="center"/>
    </xf>
    <xf numFmtId="0" fontId="13" fillId="0" borderId="1" xfId="0" applyFont="1" applyBorder="1" applyAlignment="1" applyProtection="1">
      <alignment vertical="center"/>
    </xf>
    <xf numFmtId="0" fontId="13" fillId="0" borderId="4" xfId="0" applyFont="1" applyBorder="1" applyAlignment="1" applyProtection="1">
      <alignment vertical="center"/>
    </xf>
    <xf numFmtId="44" fontId="8" fillId="0" borderId="1" xfId="2" applyFont="1" applyBorder="1" applyAlignment="1" applyProtection="1">
      <alignment vertical="center"/>
    </xf>
    <xf numFmtId="4" fontId="8" fillId="0" borderId="1" xfId="0" applyNumberFormat="1" applyFont="1" applyBorder="1" applyAlignment="1" applyProtection="1">
      <alignment horizontal="center" vertical="center"/>
    </xf>
    <xf numFmtId="164" fontId="8" fillId="0" borderId="21" xfId="3" applyNumberFormat="1" applyFont="1" applyBorder="1" applyAlignment="1" applyProtection="1">
      <alignment horizontal="center" vertical="center"/>
    </xf>
    <xf numFmtId="0" fontId="13" fillId="0" borderId="21" xfId="0" applyFont="1" applyBorder="1" applyAlignment="1" applyProtection="1">
      <alignment horizontal="center" vertical="center"/>
    </xf>
    <xf numFmtId="0" fontId="4" fillId="12" borderId="20" xfId="0" applyFont="1" applyFill="1" applyBorder="1" applyAlignment="1" applyProtection="1">
      <alignment horizontal="center" vertical="center"/>
    </xf>
    <xf numFmtId="0" fontId="4" fillId="12" borderId="1" xfId="0" applyFont="1" applyFill="1" applyBorder="1" applyAlignment="1" applyProtection="1">
      <alignment vertical="center"/>
    </xf>
    <xf numFmtId="44" fontId="8" fillId="12" borderId="1" xfId="2" applyFont="1" applyFill="1" applyBorder="1" applyAlignment="1" applyProtection="1">
      <alignment vertical="center"/>
    </xf>
    <xf numFmtId="4" fontId="5" fillId="7" borderId="1" xfId="0" applyNumberFormat="1" applyFont="1" applyFill="1" applyBorder="1" applyAlignment="1" applyProtection="1">
      <alignment horizontal="center" vertical="center"/>
    </xf>
    <xf numFmtId="44" fontId="13" fillId="7" borderId="4" xfId="0" applyNumberFormat="1" applyFont="1" applyFill="1" applyBorder="1" applyAlignment="1" applyProtection="1">
      <alignment horizontal="center" vertical="center"/>
    </xf>
    <xf numFmtId="10" fontId="5" fillId="8" borderId="21" xfId="0" applyNumberFormat="1" applyFont="1" applyFill="1" applyBorder="1" applyAlignment="1" applyProtection="1">
      <alignment horizontal="center" vertical="center"/>
    </xf>
    <xf numFmtId="44" fontId="4" fillId="0" borderId="6" xfId="2" applyFont="1" applyBorder="1" applyAlignment="1" applyProtection="1">
      <alignment horizontal="center" vertical="center"/>
    </xf>
    <xf numFmtId="10" fontId="5" fillId="0" borderId="24" xfId="3" applyNumberFormat="1" applyFont="1" applyFill="1" applyBorder="1" applyAlignment="1" applyProtection="1">
      <alignment horizontal="center" vertical="center"/>
    </xf>
    <xf numFmtId="10" fontId="5" fillId="7" borderId="22" xfId="3" applyNumberFormat="1" applyFont="1" applyFill="1" applyBorder="1" applyAlignment="1" applyProtection="1">
      <alignment horizontal="center" vertical="center"/>
    </xf>
    <xf numFmtId="0" fontId="4" fillId="2" borderId="15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center" vertical="center"/>
    </xf>
    <xf numFmtId="43" fontId="8" fillId="2" borderId="0" xfId="1" applyFont="1" applyFill="1" applyBorder="1" applyAlignment="1" applyProtection="1">
      <alignment horizontal="center" vertical="center"/>
    </xf>
    <xf numFmtId="44" fontId="8" fillId="2" borderId="0" xfId="2" applyFont="1" applyFill="1" applyBorder="1" applyAlignment="1" applyProtection="1">
      <alignment horizontal="center" vertical="center"/>
    </xf>
    <xf numFmtId="44" fontId="6" fillId="2" borderId="0" xfId="2" applyFont="1" applyFill="1" applyBorder="1" applyAlignment="1" applyProtection="1">
      <alignment horizontal="center" vertical="top"/>
    </xf>
    <xf numFmtId="44" fontId="10" fillId="2" borderId="0" xfId="2" applyFont="1" applyFill="1" applyBorder="1" applyAlignment="1" applyProtection="1">
      <alignment horizontal="center" vertical="center"/>
    </xf>
    <xf numFmtId="44" fontId="8" fillId="2" borderId="16" xfId="2" applyFont="1" applyFill="1" applyBorder="1" applyAlignment="1" applyProtection="1">
      <alignment horizontal="center" vertical="center"/>
    </xf>
    <xf numFmtId="0" fontId="4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left" vertical="center"/>
    </xf>
    <xf numFmtId="44" fontId="6" fillId="2" borderId="0" xfId="2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 vertical="center" wrapText="1"/>
    </xf>
    <xf numFmtId="44" fontId="6" fillId="2" borderId="0" xfId="2" applyFont="1" applyFill="1" applyBorder="1" applyAlignment="1" applyProtection="1">
      <alignment horizontal="left" vertical="center" wrapText="1"/>
    </xf>
    <xf numFmtId="0" fontId="4" fillId="2" borderId="17" xfId="0" applyFont="1" applyFill="1" applyBorder="1" applyAlignment="1" applyProtection="1">
      <alignment horizontal="left" vertical="center"/>
    </xf>
    <xf numFmtId="0" fontId="4" fillId="2" borderId="2" xfId="0" applyFont="1" applyFill="1" applyBorder="1" applyAlignment="1" applyProtection="1">
      <alignment horizontal="left" vertical="center"/>
    </xf>
    <xf numFmtId="43" fontId="8" fillId="2" borderId="2" xfId="1" applyFont="1" applyFill="1" applyBorder="1" applyAlignment="1" applyProtection="1">
      <alignment horizontal="left" vertical="center"/>
    </xf>
    <xf numFmtId="44" fontId="8" fillId="2" borderId="2" xfId="2" applyFont="1" applyFill="1" applyBorder="1" applyAlignment="1" applyProtection="1">
      <alignment horizontal="left" vertical="center"/>
    </xf>
    <xf numFmtId="44" fontId="4" fillId="2" borderId="2" xfId="2" applyFont="1" applyFill="1" applyBorder="1" applyAlignment="1" applyProtection="1">
      <alignment horizontal="center" vertical="center"/>
    </xf>
    <xf numFmtId="44" fontId="8" fillId="2" borderId="2" xfId="2" applyFont="1" applyFill="1" applyBorder="1" applyAlignment="1" applyProtection="1">
      <alignment horizontal="center" vertical="center"/>
    </xf>
    <xf numFmtId="0" fontId="4" fillId="0" borderId="18" xfId="0" applyFont="1" applyBorder="1" applyAlignment="1" applyProtection="1">
      <alignment horizontal="center" vertical="center"/>
    </xf>
    <xf numFmtId="0" fontId="5" fillId="3" borderId="19" xfId="0" applyFont="1" applyFill="1" applyBorder="1" applyAlignment="1" applyProtection="1">
      <alignment horizontal="center" vertical="center"/>
    </xf>
    <xf numFmtId="0" fontId="5" fillId="3" borderId="10" xfId="0" applyFont="1" applyFill="1" applyBorder="1" applyAlignment="1" applyProtection="1">
      <alignment horizontal="center" vertical="center" wrapText="1"/>
    </xf>
    <xf numFmtId="0" fontId="5" fillId="3" borderId="10" xfId="0" applyFont="1" applyFill="1" applyBorder="1" applyAlignment="1" applyProtection="1">
      <alignment horizontal="left" vertical="center" wrapText="1"/>
    </xf>
    <xf numFmtId="0" fontId="5" fillId="3" borderId="10" xfId="0" applyFont="1" applyFill="1" applyBorder="1" applyAlignment="1" applyProtection="1">
      <alignment horizontal="center" vertical="center"/>
    </xf>
    <xf numFmtId="43" fontId="13" fillId="3" borderId="10" xfId="1" applyFont="1" applyFill="1" applyBorder="1" applyAlignment="1" applyProtection="1">
      <alignment horizontal="center" vertical="center"/>
    </xf>
    <xf numFmtId="44" fontId="13" fillId="3" borderId="10" xfId="2" applyFont="1" applyFill="1" applyBorder="1" applyAlignment="1" applyProtection="1">
      <alignment horizontal="center" vertical="center"/>
    </xf>
    <xf numFmtId="44" fontId="5" fillId="3" borderId="10" xfId="2" applyFont="1" applyFill="1" applyBorder="1" applyAlignment="1" applyProtection="1">
      <alignment horizontal="center" vertical="center"/>
    </xf>
    <xf numFmtId="44" fontId="13" fillId="3" borderId="11" xfId="2" applyFont="1" applyFill="1" applyBorder="1" applyAlignment="1" applyProtection="1">
      <alignment horizontal="center" vertical="center"/>
    </xf>
    <xf numFmtId="0" fontId="5" fillId="11" borderId="16" xfId="0" applyFont="1" applyFill="1" applyBorder="1" applyAlignment="1" applyProtection="1">
      <alignment horizontal="center" vertical="center"/>
    </xf>
    <xf numFmtId="4" fontId="4" fillId="0" borderId="1" xfId="0" applyNumberFormat="1" applyFont="1" applyBorder="1" applyAlignment="1" applyProtection="1">
      <alignment horizontal="center" vertical="center"/>
    </xf>
    <xf numFmtId="4" fontId="8" fillId="0" borderId="4" xfId="0" applyNumberFormat="1" applyFont="1" applyBorder="1" applyAlignment="1" applyProtection="1">
      <alignment horizontal="center" vertical="center"/>
    </xf>
    <xf numFmtId="0" fontId="9" fillId="5" borderId="1" xfId="0" applyFont="1" applyFill="1" applyBorder="1" applyAlignment="1" applyProtection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/>
    </xf>
    <xf numFmtId="43" fontId="10" fillId="5" borderId="1" xfId="1" applyFont="1" applyFill="1" applyBorder="1" applyAlignment="1" applyProtection="1">
      <alignment horizontal="center" vertical="center"/>
    </xf>
    <xf numFmtId="44" fontId="10" fillId="5" borderId="1" xfId="2" applyFont="1" applyFill="1" applyBorder="1" applyAlignment="1" applyProtection="1">
      <alignment horizontal="center" vertical="center"/>
    </xf>
    <xf numFmtId="44" fontId="9" fillId="5" borderId="1" xfId="2" applyFont="1" applyFill="1" applyBorder="1" applyAlignment="1" applyProtection="1">
      <alignment horizontal="center" vertical="center"/>
    </xf>
    <xf numFmtId="44" fontId="20" fillId="5" borderId="3" xfId="2" applyFont="1" applyFill="1" applyBorder="1" applyAlignment="1" applyProtection="1">
      <alignment horizontal="center" vertical="center"/>
    </xf>
    <xf numFmtId="10" fontId="6" fillId="5" borderId="16" xfId="0" applyNumberFormat="1" applyFont="1" applyFill="1" applyBorder="1" applyAlignment="1" applyProtection="1">
      <alignment horizontal="center" vertical="center"/>
    </xf>
    <xf numFmtId="4" fontId="13" fillId="7" borderId="1" xfId="0" applyNumberFormat="1" applyFont="1" applyFill="1" applyBorder="1" applyAlignment="1" applyProtection="1">
      <alignment horizontal="center" vertical="center"/>
    </xf>
    <xf numFmtId="44" fontId="8" fillId="2" borderId="14" xfId="2" applyFont="1" applyFill="1" applyBorder="1" applyAlignment="1" applyProtection="1">
      <alignment horizontal="center" vertical="center"/>
    </xf>
    <xf numFmtId="0" fontId="4" fillId="2" borderId="12" xfId="0" applyFont="1" applyFill="1" applyBorder="1" applyAlignment="1" applyProtection="1">
      <alignment horizontal="center" vertical="center"/>
    </xf>
    <xf numFmtId="0" fontId="11" fillId="2" borderId="13" xfId="0" applyFont="1" applyFill="1" applyBorder="1" applyAlignment="1" applyProtection="1">
      <alignment horizontal="left" vertical="center" wrapText="1"/>
    </xf>
    <xf numFmtId="0" fontId="4" fillId="2" borderId="13" xfId="0" applyFont="1" applyFill="1" applyBorder="1" applyAlignment="1" applyProtection="1">
      <alignment horizontal="center" vertical="center"/>
    </xf>
    <xf numFmtId="43" fontId="8" fillId="2" borderId="13" xfId="1" applyFont="1" applyFill="1" applyBorder="1" applyAlignment="1" applyProtection="1">
      <alignment horizontal="center" vertical="center"/>
    </xf>
    <xf numFmtId="44" fontId="8" fillId="2" borderId="13" xfId="2" applyFont="1" applyFill="1" applyBorder="1" applyAlignment="1" applyProtection="1">
      <alignment horizontal="center" vertical="center"/>
    </xf>
    <xf numFmtId="44" fontId="6" fillId="2" borderId="13" xfId="2" applyFont="1" applyFill="1" applyBorder="1" applyAlignment="1" applyProtection="1">
      <alignment horizontal="center" vertical="center"/>
    </xf>
    <xf numFmtId="0" fontId="4" fillId="2" borderId="0" xfId="0" applyFont="1" applyFill="1" applyAlignment="1" applyProtection="1">
      <alignment horizontal="center" vertical="center"/>
    </xf>
    <xf numFmtId="0" fontId="4" fillId="2" borderId="0" xfId="0" applyFont="1" applyFill="1" applyAlignment="1" applyProtection="1">
      <alignment horizontal="center" vertical="center" wrapText="1"/>
    </xf>
    <xf numFmtId="0" fontId="4" fillId="2" borderId="0" xfId="0" applyFont="1" applyFill="1" applyAlignment="1" applyProtection="1">
      <alignment horizontal="left" vertical="center"/>
    </xf>
    <xf numFmtId="43" fontId="8" fillId="2" borderId="0" xfId="1" applyFont="1" applyFill="1" applyAlignment="1" applyProtection="1">
      <alignment horizontal="center" vertical="center"/>
    </xf>
    <xf numFmtId="44" fontId="8" fillId="2" borderId="0" xfId="2" applyFont="1" applyFill="1" applyAlignment="1" applyProtection="1">
      <alignment horizontal="center" vertical="center"/>
    </xf>
    <xf numFmtId="44" fontId="4" fillId="2" borderId="0" xfId="2" applyFont="1" applyFill="1" applyAlignment="1" applyProtection="1">
      <alignment horizontal="center" vertical="center"/>
    </xf>
  </cellXfs>
  <cellStyles count="9">
    <cellStyle name="Moeda" xfId="2" builtinId="4"/>
    <cellStyle name="Moeda 2" xfId="6" xr:uid="{3DD9AB3D-4BEC-4E74-AC8A-A595A07582C0}"/>
    <cellStyle name="Moeda 2 2" xfId="7" xr:uid="{C9A48BEB-FFDD-497D-B260-FC8FBD226CDD}"/>
    <cellStyle name="Normal" xfId="0" builtinId="0"/>
    <cellStyle name="Normal 2" xfId="4" xr:uid="{046FEDFE-5F32-4AC3-BBC2-A62B747EAC91}"/>
    <cellStyle name="Normal 3" xfId="8" xr:uid="{A9A037CC-AD99-4B3D-8ADF-07379A255212}"/>
    <cellStyle name="Normal 4" xfId="5" xr:uid="{A881DF81-A8EA-4D25-A11C-EB8C49793159}"/>
    <cellStyle name="Porcentagem" xfId="3" builtinId="5"/>
    <cellStyle name="Vírgula" xfId="1" builtinId="3"/>
  </cellStyles>
  <dxfs count="0"/>
  <tableStyles count="0" defaultTableStyle="TableStyleMedium9"/>
  <colors>
    <mruColors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vanessa.leal\Desktop\PLANILHA%20M&#218;LTIPLA%20DRENAGEM\TRAVESSIAS%20ARROIO%20CAJU\Planilha_Multipla_TRAVESSIAS%20ARROIO%20CAJU2.xlsm" TargetMode="External"/><Relationship Id="rId1" Type="http://schemas.openxmlformats.org/officeDocument/2006/relationships/externalLinkPath" Target="file:///C:\Users\vanessa.leal\Desktop\PLANILHA%20M&#218;LTIPLA%20DRENAGEM\TRAVESSIAS%20ARROIO%20CAJU\Planilha_Multipla_TRAVESSIAS%20ARROIO%20CAJU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NOVO"/>
      <sheetName val="MENU"/>
      <sheetName val="DADOS"/>
      <sheetName val="BDI"/>
      <sheetName val="ORÇAMENTO"/>
      <sheetName val="EVENTOS"/>
      <sheetName val="CÁLCULO"/>
      <sheetName val="CRONOPLE"/>
      <sheetName val="CRONO"/>
      <sheetName val="QCI"/>
      <sheetName val="PLE"/>
      <sheetName val="BM"/>
      <sheetName val="RRE"/>
      <sheetName val="OFÍCIO"/>
      <sheetName val="PO-PLE"/>
      <sheetName val="CFF-PLE"/>
      <sheetName val="PO-BM"/>
      <sheetName val="CFF-BM"/>
    </sheetNames>
    <sheetDataSet>
      <sheetData sheetId="0"/>
      <sheetData sheetId="1">
        <row r="4">
          <cell r="J4" t="str">
            <v>PLE</v>
          </cell>
        </row>
      </sheetData>
      <sheetData sheetId="2">
        <row r="31">
          <cell r="C31" t="str">
            <v>TransfereGOV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07"/>
  <sheetViews>
    <sheetView tabSelected="1" view="pageBreakPreview" zoomScale="85" zoomScaleNormal="70" zoomScaleSheetLayoutView="85" workbookViewId="0">
      <selection activeCell="G43" sqref="G43"/>
    </sheetView>
  </sheetViews>
  <sheetFormatPr defaultRowHeight="15" x14ac:dyDescent="0.25"/>
  <cols>
    <col min="1" max="1" width="17.140625" style="50" customWidth="1"/>
    <col min="2" max="3" width="12.7109375" style="51" customWidth="1"/>
    <col min="4" max="4" width="80.7109375" style="62" customWidth="1"/>
    <col min="5" max="5" width="10.7109375" style="50" customWidth="1"/>
    <col min="6" max="6" width="15.7109375" style="63" bestFit="1" customWidth="1"/>
    <col min="7" max="7" width="20.7109375" style="64" customWidth="1"/>
    <col min="8" max="8" width="20.7109375" style="65" customWidth="1"/>
    <col min="9" max="9" width="20.7109375" style="64" customWidth="1"/>
    <col min="10" max="10" width="11.42578125" style="50" customWidth="1"/>
    <col min="11" max="11" width="21.5703125" style="5" customWidth="1"/>
    <col min="13" max="13" width="16" bestFit="1" customWidth="1"/>
  </cols>
  <sheetData>
    <row r="1" spans="1:11" ht="15.75" thickBot="1" x14ac:dyDescent="0.3">
      <c r="A1" s="200"/>
      <c r="B1" s="201"/>
      <c r="C1" s="201"/>
      <c r="D1" s="202"/>
      <c r="E1" s="200"/>
      <c r="F1" s="203"/>
      <c r="G1" s="204"/>
      <c r="H1" s="205"/>
      <c r="I1" s="204"/>
    </row>
    <row r="2" spans="1:11" ht="18.75" customHeight="1" x14ac:dyDescent="0.25">
      <c r="A2" s="194"/>
      <c r="B2" s="195"/>
      <c r="C2" s="195"/>
      <c r="D2" s="195"/>
      <c r="E2" s="196"/>
      <c r="F2" s="197"/>
      <c r="G2" s="198"/>
      <c r="H2" s="199" t="s">
        <v>54</v>
      </c>
      <c r="I2" s="23"/>
      <c r="J2" s="193"/>
      <c r="K2" s="15"/>
    </row>
    <row r="3" spans="1:11" ht="15.75" x14ac:dyDescent="0.25">
      <c r="A3" s="153"/>
      <c r="B3" s="154"/>
      <c r="C3" s="154"/>
      <c r="D3" s="155"/>
      <c r="E3" s="156"/>
      <c r="F3" s="157"/>
      <c r="G3" s="158"/>
      <c r="H3" s="159" t="s">
        <v>74</v>
      </c>
      <c r="I3" s="160"/>
      <c r="J3" s="161"/>
      <c r="K3" s="15"/>
    </row>
    <row r="4" spans="1:11" ht="41.25" customHeight="1" x14ac:dyDescent="0.25">
      <c r="A4" s="153"/>
      <c r="B4" s="162"/>
      <c r="C4" s="162"/>
      <c r="D4" s="163"/>
      <c r="E4" s="156"/>
      <c r="F4" s="157"/>
      <c r="G4" s="158"/>
      <c r="H4" s="164"/>
      <c r="I4" s="160"/>
      <c r="J4" s="161"/>
      <c r="K4" s="15"/>
    </row>
    <row r="5" spans="1:11" ht="77.25" customHeight="1" x14ac:dyDescent="0.25">
      <c r="A5" s="121"/>
      <c r="B5" s="160"/>
      <c r="C5" s="162"/>
      <c r="D5" s="165" t="s">
        <v>171</v>
      </c>
      <c r="E5" s="165"/>
      <c r="F5" s="165"/>
      <c r="G5" s="158"/>
      <c r="H5" s="166" t="s">
        <v>172</v>
      </c>
      <c r="I5" s="166"/>
      <c r="J5" s="161"/>
      <c r="K5" s="15"/>
    </row>
    <row r="6" spans="1:11" ht="21" customHeight="1" x14ac:dyDescent="0.25">
      <c r="A6" s="167" t="s">
        <v>168</v>
      </c>
      <c r="B6" s="168"/>
      <c r="C6" s="168"/>
      <c r="D6" s="168"/>
      <c r="E6" s="168"/>
      <c r="F6" s="169"/>
      <c r="G6" s="170"/>
      <c r="H6" s="171"/>
      <c r="I6" s="172"/>
      <c r="J6" s="173"/>
      <c r="K6" s="15"/>
    </row>
    <row r="7" spans="1:11" s="1" customFormat="1" x14ac:dyDescent="0.25">
      <c r="A7" s="174" t="s">
        <v>0</v>
      </c>
      <c r="B7" s="175" t="s">
        <v>1</v>
      </c>
      <c r="C7" s="175" t="s">
        <v>2</v>
      </c>
      <c r="D7" s="176" t="s">
        <v>3</v>
      </c>
      <c r="E7" s="177" t="s">
        <v>4</v>
      </c>
      <c r="F7" s="178" t="s">
        <v>5</v>
      </c>
      <c r="G7" s="179" t="s">
        <v>6</v>
      </c>
      <c r="H7" s="180" t="s">
        <v>7</v>
      </c>
      <c r="I7" s="181" t="s">
        <v>8</v>
      </c>
      <c r="J7" s="182" t="s">
        <v>73</v>
      </c>
      <c r="K7" s="15"/>
    </row>
    <row r="8" spans="1:11" s="1" customFormat="1" x14ac:dyDescent="0.25">
      <c r="A8" s="25"/>
      <c r="B8" s="28"/>
      <c r="C8" s="28"/>
      <c r="D8" s="27"/>
      <c r="E8" s="28"/>
      <c r="F8" s="29"/>
      <c r="G8" s="141"/>
      <c r="H8" s="183"/>
      <c r="I8" s="184"/>
      <c r="J8" s="110"/>
      <c r="K8" s="15"/>
    </row>
    <row r="9" spans="1:11" s="10" customFormat="1" ht="15.75" x14ac:dyDescent="0.25">
      <c r="A9" s="126" t="s">
        <v>164</v>
      </c>
      <c r="B9" s="185"/>
      <c r="C9" s="185"/>
      <c r="D9" s="128" t="s">
        <v>18</v>
      </c>
      <c r="E9" s="186"/>
      <c r="F9" s="187"/>
      <c r="G9" s="188"/>
      <c r="H9" s="189"/>
      <c r="I9" s="190">
        <f>I11</f>
        <v>0</v>
      </c>
      <c r="J9" s="191" t="e">
        <f>I9/I201</f>
        <v>#DIV/0!</v>
      </c>
      <c r="K9" s="14"/>
    </row>
    <row r="10" spans="1:11" s="1" customFormat="1" x14ac:dyDescent="0.25">
      <c r="A10" s="25"/>
      <c r="B10" s="28"/>
      <c r="C10" s="28"/>
      <c r="D10" s="27"/>
      <c r="E10" s="28"/>
      <c r="F10" s="29"/>
      <c r="G10" s="141"/>
      <c r="H10" s="183"/>
      <c r="I10" s="184"/>
      <c r="J10" s="110"/>
      <c r="K10" s="15"/>
    </row>
    <row r="11" spans="1:11" s="3" customFormat="1" x14ac:dyDescent="0.25">
      <c r="A11" s="111" t="s">
        <v>55</v>
      </c>
      <c r="B11" s="114"/>
      <c r="C11" s="114"/>
      <c r="D11" s="113" t="s">
        <v>127</v>
      </c>
      <c r="E11" s="114"/>
      <c r="F11" s="115"/>
      <c r="G11" s="192"/>
      <c r="H11" s="147"/>
      <c r="I11" s="148">
        <f>SUM(I13:I14)</f>
        <v>0</v>
      </c>
      <c r="J11" s="152" t="e">
        <f>ROUND((SUM(J13:J14)),4)</f>
        <v>#DIV/0!</v>
      </c>
      <c r="K11" s="15"/>
    </row>
    <row r="12" spans="1:11" s="1" customFormat="1" x14ac:dyDescent="0.25">
      <c r="A12" s="25"/>
      <c r="B12" s="28"/>
      <c r="C12" s="28"/>
      <c r="D12" s="27"/>
      <c r="E12" s="28"/>
      <c r="F12" s="29"/>
      <c r="G12" s="141"/>
      <c r="H12" s="183"/>
      <c r="I12" s="184"/>
      <c r="J12" s="110"/>
      <c r="K12" s="15"/>
    </row>
    <row r="13" spans="1:11" s="1" customFormat="1" x14ac:dyDescent="0.25">
      <c r="A13" s="25">
        <v>1</v>
      </c>
      <c r="B13" s="28" t="s">
        <v>10</v>
      </c>
      <c r="C13" s="28" t="s">
        <v>122</v>
      </c>
      <c r="D13" s="27" t="s">
        <v>123</v>
      </c>
      <c r="E13" s="28" t="s">
        <v>124</v>
      </c>
      <c r="F13" s="90">
        <v>1</v>
      </c>
      <c r="G13" s="24"/>
      <c r="H13" s="66">
        <f>ROUND(G13*(1+$I$2),2)</f>
        <v>0</v>
      </c>
      <c r="I13" s="67">
        <f>TRUNC((F13*H13),2)</f>
        <v>0</v>
      </c>
      <c r="J13" s="107" t="e">
        <f>I13/$I$201</f>
        <v>#DIV/0!</v>
      </c>
      <c r="K13" s="17"/>
    </row>
    <row r="14" spans="1:11" s="1" customFormat="1" x14ac:dyDescent="0.25">
      <c r="A14" s="25">
        <v>2</v>
      </c>
      <c r="B14" s="28" t="s">
        <v>10</v>
      </c>
      <c r="C14" s="28" t="s">
        <v>125</v>
      </c>
      <c r="D14" s="27" t="s">
        <v>126</v>
      </c>
      <c r="E14" s="28" t="s">
        <v>124</v>
      </c>
      <c r="F14" s="90">
        <v>3</v>
      </c>
      <c r="G14" s="24"/>
      <c r="H14" s="66">
        <f>ROUND(G14*(1+$I$2),2)</f>
        <v>0</v>
      </c>
      <c r="I14" s="67">
        <f>TRUNC((F14*H14),2)</f>
        <v>0</v>
      </c>
      <c r="J14" s="107" t="e">
        <f>I14/$I$201</f>
        <v>#DIV/0!</v>
      </c>
      <c r="K14" s="17"/>
    </row>
    <row r="15" spans="1:11" s="1" customFormat="1" x14ac:dyDescent="0.25">
      <c r="A15" s="25"/>
      <c r="B15" s="28"/>
      <c r="C15" s="28"/>
      <c r="D15" s="27"/>
      <c r="E15" s="28"/>
      <c r="F15" s="29"/>
      <c r="G15" s="30"/>
      <c r="H15" s="150"/>
      <c r="I15" s="32"/>
      <c r="J15" s="110"/>
      <c r="K15" s="15"/>
    </row>
    <row r="16" spans="1:11" s="2" customFormat="1" ht="15.75" x14ac:dyDescent="0.25">
      <c r="A16" s="126" t="s">
        <v>165</v>
      </c>
      <c r="B16" s="127"/>
      <c r="C16" s="127"/>
      <c r="D16" s="128" t="s">
        <v>101</v>
      </c>
      <c r="E16" s="129"/>
      <c r="F16" s="130"/>
      <c r="G16" s="131"/>
      <c r="H16" s="132"/>
      <c r="I16" s="133">
        <f>I18+I23+I26</f>
        <v>0</v>
      </c>
      <c r="J16" s="134" t="e">
        <f>I16/$I$201</f>
        <v>#DIV/0!</v>
      </c>
      <c r="K16" s="15"/>
    </row>
    <row r="17" spans="1:11" s="3" customFormat="1" x14ac:dyDescent="0.25">
      <c r="A17" s="79"/>
      <c r="B17" s="80"/>
      <c r="C17" s="80"/>
      <c r="D17" s="80"/>
      <c r="E17" s="80"/>
      <c r="F17" s="81"/>
      <c r="G17" s="140"/>
      <c r="H17" s="80"/>
      <c r="I17" s="83"/>
      <c r="J17" s="151"/>
      <c r="K17" s="15"/>
    </row>
    <row r="18" spans="1:11" s="3" customFormat="1" x14ac:dyDescent="0.25">
      <c r="A18" s="111" t="s">
        <v>56</v>
      </c>
      <c r="B18" s="114"/>
      <c r="C18" s="114"/>
      <c r="D18" s="113" t="s">
        <v>9</v>
      </c>
      <c r="E18" s="114"/>
      <c r="F18" s="115"/>
      <c r="G18" s="116"/>
      <c r="H18" s="147"/>
      <c r="I18" s="148">
        <f>SUM(I20:I22)</f>
        <v>0</v>
      </c>
      <c r="J18" s="152" t="e">
        <f>ROUND((SUM(J20:J22)),4)</f>
        <v>#DIV/0!</v>
      </c>
      <c r="K18" s="15"/>
    </row>
    <row r="19" spans="1:11" s="3" customFormat="1" x14ac:dyDescent="0.25">
      <c r="A19" s="79"/>
      <c r="B19" s="80"/>
      <c r="C19" s="80"/>
      <c r="D19" s="80"/>
      <c r="E19" s="80"/>
      <c r="F19" s="81"/>
      <c r="G19" s="140"/>
      <c r="H19" s="80"/>
      <c r="I19" s="83"/>
      <c r="J19" s="151"/>
      <c r="K19" s="15"/>
    </row>
    <row r="20" spans="1:11" s="1" customFormat="1" x14ac:dyDescent="0.25">
      <c r="A20" s="25">
        <f>A14+1</f>
        <v>3</v>
      </c>
      <c r="B20" s="28" t="s">
        <v>10</v>
      </c>
      <c r="C20" s="26" t="s">
        <v>103</v>
      </c>
      <c r="D20" s="27" t="s">
        <v>9</v>
      </c>
      <c r="E20" s="28" t="s">
        <v>11</v>
      </c>
      <c r="F20" s="90">
        <v>1</v>
      </c>
      <c r="G20" s="24"/>
      <c r="H20" s="66">
        <f>ROUND(G20*(1+$I$2),2)</f>
        <v>0</v>
      </c>
      <c r="I20" s="67">
        <f t="shared" ref="I20:I22" si="0">TRUNC((F20*H20),2)</f>
        <v>0</v>
      </c>
      <c r="J20" s="107" t="e">
        <f>I20/$I$201</f>
        <v>#DIV/0!</v>
      </c>
      <c r="K20" s="17"/>
    </row>
    <row r="21" spans="1:11" s="1" customFormat="1" ht="30" x14ac:dyDescent="0.25">
      <c r="A21" s="25">
        <f>A20+1</f>
        <v>4</v>
      </c>
      <c r="B21" s="28" t="s">
        <v>10</v>
      </c>
      <c r="C21" s="26" t="s">
        <v>104</v>
      </c>
      <c r="D21" s="27" t="s">
        <v>58</v>
      </c>
      <c r="E21" s="28" t="s">
        <v>13</v>
      </c>
      <c r="F21" s="90">
        <v>650</v>
      </c>
      <c r="G21" s="24"/>
      <c r="H21" s="66">
        <f>ROUND(G21*(1+$I$2),2)</f>
        <v>0</v>
      </c>
      <c r="I21" s="67">
        <f t="shared" si="0"/>
        <v>0</v>
      </c>
      <c r="J21" s="107" t="e">
        <f>I21/$I$201</f>
        <v>#DIV/0!</v>
      </c>
      <c r="K21" s="17"/>
    </row>
    <row r="22" spans="1:11" s="1" customFormat="1" x14ac:dyDescent="0.25">
      <c r="A22" s="25">
        <f>A21+1</f>
        <v>5</v>
      </c>
      <c r="B22" s="28" t="s">
        <v>10</v>
      </c>
      <c r="C22" s="26" t="s">
        <v>105</v>
      </c>
      <c r="D22" s="27" t="s">
        <v>14</v>
      </c>
      <c r="E22" s="28" t="s">
        <v>15</v>
      </c>
      <c r="F22" s="90">
        <v>15</v>
      </c>
      <c r="G22" s="24"/>
      <c r="H22" s="66">
        <f>ROUND(G22*(1+$I$2),2)</f>
        <v>0</v>
      </c>
      <c r="I22" s="67">
        <f t="shared" si="0"/>
        <v>0</v>
      </c>
      <c r="J22" s="107" t="e">
        <f>I22/$I$201</f>
        <v>#DIV/0!</v>
      </c>
      <c r="K22" s="17"/>
    </row>
    <row r="23" spans="1:11" s="3" customFormat="1" x14ac:dyDescent="0.25">
      <c r="A23" s="111" t="s">
        <v>57</v>
      </c>
      <c r="B23" s="114"/>
      <c r="C23" s="114"/>
      <c r="D23" s="113" t="s">
        <v>16</v>
      </c>
      <c r="E23" s="114"/>
      <c r="F23" s="115"/>
      <c r="G23" s="116"/>
      <c r="H23" s="147"/>
      <c r="I23" s="148">
        <f>I25</f>
        <v>0</v>
      </c>
      <c r="J23" s="119" t="e">
        <f>J25</f>
        <v>#DIV/0!</v>
      </c>
      <c r="K23" s="15"/>
    </row>
    <row r="24" spans="1:11" s="1" customFormat="1" x14ac:dyDescent="0.25">
      <c r="A24" s="79"/>
      <c r="B24" s="80"/>
      <c r="C24" s="80"/>
      <c r="D24" s="80"/>
      <c r="E24" s="80"/>
      <c r="F24" s="81"/>
      <c r="G24" s="140"/>
      <c r="H24" s="80"/>
      <c r="I24" s="83"/>
      <c r="J24" s="110"/>
      <c r="K24" s="15"/>
    </row>
    <row r="25" spans="1:11" s="1" customFormat="1" x14ac:dyDescent="0.25">
      <c r="A25" s="25">
        <f>A22+1</f>
        <v>6</v>
      </c>
      <c r="B25" s="28" t="s">
        <v>10</v>
      </c>
      <c r="C25" s="26" t="s">
        <v>106</v>
      </c>
      <c r="D25" s="27" t="s">
        <v>16</v>
      </c>
      <c r="E25" s="28" t="s">
        <v>11</v>
      </c>
      <c r="F25" s="90">
        <v>1</v>
      </c>
      <c r="G25" s="101"/>
      <c r="H25" s="66">
        <f>ROUND(G25*(1+$I$2),2)</f>
        <v>0</v>
      </c>
      <c r="I25" s="67">
        <f>TRUNC((F25*H25),2)</f>
        <v>0</v>
      </c>
      <c r="J25" s="107" t="e">
        <f>I25/$I$201</f>
        <v>#DIV/0!</v>
      </c>
      <c r="K25" s="17"/>
    </row>
    <row r="26" spans="1:11" s="3" customFormat="1" x14ac:dyDescent="0.25">
      <c r="A26" s="111" t="s">
        <v>128</v>
      </c>
      <c r="B26" s="114"/>
      <c r="C26" s="114"/>
      <c r="D26" s="113" t="s">
        <v>17</v>
      </c>
      <c r="E26" s="114"/>
      <c r="F26" s="115"/>
      <c r="G26" s="116"/>
      <c r="H26" s="147"/>
      <c r="I26" s="148">
        <f>I28+I33+I40+I59+I77+I88+I99</f>
        <v>0</v>
      </c>
      <c r="J26" s="149" t="e">
        <f>J28+J33+J40+J59+J77+J88+J99</f>
        <v>#DIV/0!</v>
      </c>
      <c r="K26" s="15"/>
    </row>
    <row r="27" spans="1:11" s="1" customFormat="1" x14ac:dyDescent="0.25">
      <c r="A27" s="79"/>
      <c r="B27" s="80"/>
      <c r="C27" s="80"/>
      <c r="D27" s="80"/>
      <c r="E27" s="80"/>
      <c r="F27" s="81"/>
      <c r="G27" s="140"/>
      <c r="H27" s="80"/>
      <c r="I27" s="83"/>
      <c r="J27" s="110"/>
      <c r="K27" s="15"/>
    </row>
    <row r="28" spans="1:11" s="1" customFormat="1" x14ac:dyDescent="0.25">
      <c r="A28" s="71" t="s">
        <v>129</v>
      </c>
      <c r="B28" s="72"/>
      <c r="C28" s="72"/>
      <c r="D28" s="73" t="s">
        <v>20</v>
      </c>
      <c r="E28" s="72"/>
      <c r="F28" s="74"/>
      <c r="G28" s="96"/>
      <c r="H28" s="76"/>
      <c r="I28" s="77">
        <f>SUM(I30:I32)</f>
        <v>0</v>
      </c>
      <c r="J28" s="78" t="e">
        <f>ROUND((SUM(J29:J32)),4)</f>
        <v>#DIV/0!</v>
      </c>
      <c r="K28" s="15"/>
    </row>
    <row r="29" spans="1:11" s="1" customFormat="1" x14ac:dyDescent="0.25">
      <c r="A29" s="79"/>
      <c r="B29" s="80"/>
      <c r="C29" s="80"/>
      <c r="D29" s="80"/>
      <c r="E29" s="80"/>
      <c r="F29" s="81"/>
      <c r="G29" s="140"/>
      <c r="H29" s="80"/>
      <c r="I29" s="83"/>
      <c r="J29" s="110"/>
      <c r="K29" s="15"/>
    </row>
    <row r="30" spans="1:11" s="6" customFormat="1" ht="30" x14ac:dyDescent="0.25">
      <c r="A30" s="86">
        <f>A25+1</f>
        <v>7</v>
      </c>
      <c r="B30" s="89" t="s">
        <v>19</v>
      </c>
      <c r="C30" s="89">
        <v>103689</v>
      </c>
      <c r="D30" s="88" t="s">
        <v>21</v>
      </c>
      <c r="E30" s="89" t="s">
        <v>13</v>
      </c>
      <c r="F30" s="90">
        <v>6.48</v>
      </c>
      <c r="G30" s="24"/>
      <c r="H30" s="66">
        <f>ROUND(G30*(1+$I$2),2)</f>
        <v>0</v>
      </c>
      <c r="I30" s="67">
        <f t="shared" ref="I30:I32" si="1">TRUNC((F30*H30),2)</f>
        <v>0</v>
      </c>
      <c r="J30" s="107" t="e">
        <f>I30/$I$201</f>
        <v>#DIV/0!</v>
      </c>
      <c r="K30" s="17"/>
    </row>
    <row r="31" spans="1:11" s="6" customFormat="1" ht="45" x14ac:dyDescent="0.25">
      <c r="A31" s="86">
        <f>A30+1</f>
        <v>8</v>
      </c>
      <c r="B31" s="87" t="s">
        <v>100</v>
      </c>
      <c r="C31" s="89" t="s">
        <v>22</v>
      </c>
      <c r="D31" s="88" t="s">
        <v>23</v>
      </c>
      <c r="E31" s="89" t="s">
        <v>24</v>
      </c>
      <c r="F31" s="90">
        <v>2</v>
      </c>
      <c r="G31" s="24"/>
      <c r="H31" s="66">
        <f>ROUND(G31*(1+$I$2),2)</f>
        <v>0</v>
      </c>
      <c r="I31" s="67">
        <f t="shared" si="1"/>
        <v>0</v>
      </c>
      <c r="J31" s="107" t="e">
        <f>I31/$I$201</f>
        <v>#DIV/0!</v>
      </c>
      <c r="K31" s="17"/>
    </row>
    <row r="32" spans="1:11" s="6" customFormat="1" x14ac:dyDescent="0.25">
      <c r="A32" s="86">
        <f>A31+1</f>
        <v>9</v>
      </c>
      <c r="B32" s="89" t="s">
        <v>10</v>
      </c>
      <c r="C32" s="87" t="s">
        <v>107</v>
      </c>
      <c r="D32" s="88" t="s">
        <v>25</v>
      </c>
      <c r="E32" s="89" t="s">
        <v>11</v>
      </c>
      <c r="F32" s="90">
        <v>2</v>
      </c>
      <c r="G32" s="24"/>
      <c r="H32" s="66">
        <f>ROUND(G32*(1+$I$2),2)</f>
        <v>0</v>
      </c>
      <c r="I32" s="67">
        <f t="shared" si="1"/>
        <v>0</v>
      </c>
      <c r="J32" s="107" t="e">
        <f>I32/$I$201</f>
        <v>#DIV/0!</v>
      </c>
      <c r="K32" s="17"/>
    </row>
    <row r="33" spans="1:17" s="1" customFormat="1" x14ac:dyDescent="0.25">
      <c r="A33" s="71" t="s">
        <v>130</v>
      </c>
      <c r="B33" s="72"/>
      <c r="C33" s="72"/>
      <c r="D33" s="73" t="s">
        <v>26</v>
      </c>
      <c r="E33" s="72"/>
      <c r="F33" s="74"/>
      <c r="G33" s="96"/>
      <c r="H33" s="76"/>
      <c r="I33" s="77">
        <f>SUM(I35:I39)</f>
        <v>0</v>
      </c>
      <c r="J33" s="78" t="e">
        <f>ROUND((SUM(J34:J39)),4)</f>
        <v>#DIV/0!</v>
      </c>
      <c r="K33" s="15"/>
    </row>
    <row r="34" spans="1:17" s="1" customFormat="1" x14ac:dyDescent="0.25">
      <c r="A34" s="79"/>
      <c r="B34" s="80"/>
      <c r="C34" s="80"/>
      <c r="D34" s="80"/>
      <c r="E34" s="80"/>
      <c r="F34" s="81"/>
      <c r="G34" s="140"/>
      <c r="H34" s="80"/>
      <c r="I34" s="83"/>
      <c r="J34" s="110"/>
      <c r="K34" s="15"/>
    </row>
    <row r="35" spans="1:17" s="1" customFormat="1" ht="30" x14ac:dyDescent="0.25">
      <c r="A35" s="25">
        <f>A32+1</f>
        <v>10</v>
      </c>
      <c r="B35" s="28" t="s">
        <v>10</v>
      </c>
      <c r="C35" s="26" t="s">
        <v>110</v>
      </c>
      <c r="D35" s="27" t="s">
        <v>72</v>
      </c>
      <c r="E35" s="28" t="s">
        <v>15</v>
      </c>
      <c r="F35" s="90">
        <v>24</v>
      </c>
      <c r="G35" s="24"/>
      <c r="H35" s="66">
        <f t="shared" ref="H35:H39" si="2">ROUND(G35*(1+$I$2),2)</f>
        <v>0</v>
      </c>
      <c r="I35" s="67">
        <f t="shared" ref="I35:I39" si="3">TRUNC((F35*H35),2)</f>
        <v>0</v>
      </c>
      <c r="J35" s="107" t="e">
        <f>I35/$I$201</f>
        <v>#DIV/0!</v>
      </c>
      <c r="K35" s="18"/>
      <c r="M35" s="19"/>
      <c r="N35" s="19"/>
      <c r="Q35" s="19"/>
    </row>
    <row r="36" spans="1:17" s="1" customFormat="1" ht="30" x14ac:dyDescent="0.25">
      <c r="A36" s="86">
        <f>A35+1</f>
        <v>11</v>
      </c>
      <c r="B36" s="28" t="s">
        <v>19</v>
      </c>
      <c r="C36" s="28">
        <v>97636</v>
      </c>
      <c r="D36" s="27" t="s">
        <v>28</v>
      </c>
      <c r="E36" s="28" t="s">
        <v>13</v>
      </c>
      <c r="F36" s="90">
        <v>65</v>
      </c>
      <c r="G36" s="24"/>
      <c r="H36" s="66">
        <f t="shared" si="2"/>
        <v>0</v>
      </c>
      <c r="I36" s="67">
        <f t="shared" si="3"/>
        <v>0</v>
      </c>
      <c r="J36" s="107" t="e">
        <f>I36/$I$201</f>
        <v>#DIV/0!</v>
      </c>
      <c r="K36" s="17"/>
    </row>
    <row r="37" spans="1:17" s="1" customFormat="1" ht="30" x14ac:dyDescent="0.25">
      <c r="A37" s="86">
        <f t="shared" ref="A37:A39" si="4">A36+1</f>
        <v>12</v>
      </c>
      <c r="B37" s="28" t="s">
        <v>19</v>
      </c>
      <c r="C37" s="28">
        <v>104796</v>
      </c>
      <c r="D37" s="27" t="s">
        <v>29</v>
      </c>
      <c r="E37" s="28" t="s">
        <v>15</v>
      </c>
      <c r="F37" s="90">
        <v>28</v>
      </c>
      <c r="G37" s="24"/>
      <c r="H37" s="66">
        <f t="shared" si="2"/>
        <v>0</v>
      </c>
      <c r="I37" s="67">
        <f t="shared" si="3"/>
        <v>0</v>
      </c>
      <c r="J37" s="107" t="e">
        <f>I37/$I$201</f>
        <v>#DIV/0!</v>
      </c>
      <c r="K37" s="17"/>
    </row>
    <row r="38" spans="1:17" s="1" customFormat="1" ht="60" x14ac:dyDescent="0.25">
      <c r="A38" s="86">
        <f t="shared" si="4"/>
        <v>13</v>
      </c>
      <c r="B38" s="28" t="s">
        <v>19</v>
      </c>
      <c r="C38" s="28">
        <v>100982</v>
      </c>
      <c r="D38" s="27" t="s">
        <v>30</v>
      </c>
      <c r="E38" s="28" t="s">
        <v>31</v>
      </c>
      <c r="F38" s="90">
        <v>26</v>
      </c>
      <c r="G38" s="24"/>
      <c r="H38" s="66">
        <f t="shared" si="2"/>
        <v>0</v>
      </c>
      <c r="I38" s="67">
        <f t="shared" si="3"/>
        <v>0</v>
      </c>
      <c r="J38" s="107" t="e">
        <f>I38/$I$201</f>
        <v>#DIV/0!</v>
      </c>
      <c r="K38" s="17"/>
    </row>
    <row r="39" spans="1:17" s="6" customFormat="1" ht="30" x14ac:dyDescent="0.25">
      <c r="A39" s="86">
        <f t="shared" si="4"/>
        <v>14</v>
      </c>
      <c r="B39" s="89" t="s">
        <v>19</v>
      </c>
      <c r="C39" s="89">
        <v>95876</v>
      </c>
      <c r="D39" s="88" t="s">
        <v>75</v>
      </c>
      <c r="E39" s="89" t="s">
        <v>33</v>
      </c>
      <c r="F39" s="90">
        <f>F38*30</f>
        <v>780</v>
      </c>
      <c r="G39" s="24"/>
      <c r="H39" s="66">
        <f t="shared" si="2"/>
        <v>0</v>
      </c>
      <c r="I39" s="67">
        <f t="shared" si="3"/>
        <v>0</v>
      </c>
      <c r="J39" s="107" t="e">
        <f>I39/$I$201</f>
        <v>#DIV/0!</v>
      </c>
      <c r="K39" s="17"/>
    </row>
    <row r="40" spans="1:17" s="1" customFormat="1" x14ac:dyDescent="0.25">
      <c r="A40" s="71" t="s">
        <v>131</v>
      </c>
      <c r="B40" s="72"/>
      <c r="C40" s="72"/>
      <c r="D40" s="73" t="s">
        <v>34</v>
      </c>
      <c r="E40" s="72"/>
      <c r="F40" s="74"/>
      <c r="G40" s="75"/>
      <c r="H40" s="76"/>
      <c r="I40" s="77">
        <f>I42+I47+I51+I55</f>
        <v>0</v>
      </c>
      <c r="J40" s="78" t="e">
        <f>J42+J47+J51+J55</f>
        <v>#DIV/0!</v>
      </c>
      <c r="K40" s="15"/>
    </row>
    <row r="41" spans="1:17" s="6" customFormat="1" x14ac:dyDescent="0.25">
      <c r="A41" s="99"/>
      <c r="B41" s="82"/>
      <c r="C41" s="82"/>
      <c r="D41" s="82"/>
      <c r="E41" s="82"/>
      <c r="F41" s="81"/>
      <c r="G41" s="82"/>
      <c r="H41" s="82"/>
      <c r="I41" s="83"/>
      <c r="J41" s="143"/>
      <c r="K41" s="15"/>
    </row>
    <row r="42" spans="1:17" s="7" customFormat="1" x14ac:dyDescent="0.25">
      <c r="A42" s="102" t="s">
        <v>156</v>
      </c>
      <c r="B42" s="103"/>
      <c r="C42" s="103"/>
      <c r="D42" s="103" t="s">
        <v>78</v>
      </c>
      <c r="E42" s="103"/>
      <c r="F42" s="104"/>
      <c r="G42" s="103"/>
      <c r="H42" s="103"/>
      <c r="I42" s="105">
        <f>SUM(I43:I46)</f>
        <v>0</v>
      </c>
      <c r="J42" s="106" t="e">
        <f>SUM(J43:J46)</f>
        <v>#DIV/0!</v>
      </c>
      <c r="K42" s="15"/>
    </row>
    <row r="43" spans="1:17" s="6" customFormat="1" ht="60" x14ac:dyDescent="0.25">
      <c r="A43" s="86">
        <f>A39+1</f>
        <v>15</v>
      </c>
      <c r="B43" s="89" t="s">
        <v>19</v>
      </c>
      <c r="C43" s="89">
        <v>102288</v>
      </c>
      <c r="D43" s="88" t="s">
        <v>35</v>
      </c>
      <c r="E43" s="89" t="s">
        <v>31</v>
      </c>
      <c r="F43" s="90">
        <v>218</v>
      </c>
      <c r="G43" s="24"/>
      <c r="H43" s="66">
        <f t="shared" ref="H43:H58" si="5">ROUND(G43*(1+$I$2),2)</f>
        <v>0</v>
      </c>
      <c r="I43" s="67">
        <f t="shared" ref="I43:I46" si="6">TRUNC((F43*H43),2)</f>
        <v>0</v>
      </c>
      <c r="J43" s="107" t="e">
        <f>I43/$I$201</f>
        <v>#DIV/0!</v>
      </c>
      <c r="K43" s="17"/>
    </row>
    <row r="44" spans="1:17" s="6" customFormat="1" ht="60" x14ac:dyDescent="0.25">
      <c r="A44" s="86">
        <f t="shared" ref="A44:A46" si="7">A43+1</f>
        <v>16</v>
      </c>
      <c r="B44" s="89" t="s">
        <v>19</v>
      </c>
      <c r="C44" s="89">
        <v>100979</v>
      </c>
      <c r="D44" s="88" t="s">
        <v>76</v>
      </c>
      <c r="E44" s="89" t="s">
        <v>31</v>
      </c>
      <c r="F44" s="90">
        <f>F43*1.25</f>
        <v>272.5</v>
      </c>
      <c r="G44" s="24"/>
      <c r="H44" s="66">
        <f t="shared" si="5"/>
        <v>0</v>
      </c>
      <c r="I44" s="67">
        <f t="shared" si="6"/>
        <v>0</v>
      </c>
      <c r="J44" s="107" t="e">
        <f>I44/$I$201</f>
        <v>#DIV/0!</v>
      </c>
      <c r="K44" s="17"/>
    </row>
    <row r="45" spans="1:17" s="6" customFormat="1" ht="30" x14ac:dyDescent="0.25">
      <c r="A45" s="86">
        <f t="shared" si="7"/>
        <v>17</v>
      </c>
      <c r="B45" s="89" t="s">
        <v>19</v>
      </c>
      <c r="C45" s="89">
        <v>95876</v>
      </c>
      <c r="D45" s="88" t="s">
        <v>75</v>
      </c>
      <c r="E45" s="89" t="s">
        <v>33</v>
      </c>
      <c r="F45" s="90">
        <f>F44*7</f>
        <v>1907.5</v>
      </c>
      <c r="G45" s="24"/>
      <c r="H45" s="66">
        <f t="shared" si="5"/>
        <v>0</v>
      </c>
      <c r="I45" s="67">
        <f t="shared" si="6"/>
        <v>0</v>
      </c>
      <c r="J45" s="107" t="e">
        <f>I45/$I$201</f>
        <v>#DIV/0!</v>
      </c>
      <c r="K45" s="17"/>
    </row>
    <row r="46" spans="1:17" s="20" customFormat="1" ht="45" x14ac:dyDescent="0.25">
      <c r="A46" s="86">
        <f t="shared" si="7"/>
        <v>18</v>
      </c>
      <c r="B46" s="28" t="s">
        <v>19</v>
      </c>
      <c r="C46" s="28" t="e">
        <f>#REF!</f>
        <v>#REF!</v>
      </c>
      <c r="D46" s="27" t="s">
        <v>167</v>
      </c>
      <c r="E46" s="28" t="s">
        <v>13</v>
      </c>
      <c r="F46" s="90">
        <f>13*4.3*2</f>
        <v>111.8</v>
      </c>
      <c r="G46" s="24"/>
      <c r="H46" s="66">
        <f t="shared" si="5"/>
        <v>0</v>
      </c>
      <c r="I46" s="67">
        <f t="shared" si="6"/>
        <v>0</v>
      </c>
      <c r="J46" s="107" t="e">
        <f>I46/$I$201</f>
        <v>#DIV/0!</v>
      </c>
      <c r="K46" s="18"/>
    </row>
    <row r="47" spans="1:17" s="12" customFormat="1" x14ac:dyDescent="0.25">
      <c r="A47" s="102" t="s">
        <v>157</v>
      </c>
      <c r="B47" s="145"/>
      <c r="C47" s="145"/>
      <c r="D47" s="145" t="s">
        <v>79</v>
      </c>
      <c r="E47" s="145"/>
      <c r="F47" s="104"/>
      <c r="G47" s="146"/>
      <c r="H47" s="145"/>
      <c r="I47" s="105">
        <f>SUM(I48:I50)</f>
        <v>0</v>
      </c>
      <c r="J47" s="106" t="e">
        <f>SUM(J48:J50)</f>
        <v>#DIV/0!</v>
      </c>
      <c r="K47" s="15"/>
    </row>
    <row r="48" spans="1:17" s="1" customFormat="1" x14ac:dyDescent="0.25">
      <c r="A48" s="25">
        <f>A46+1</f>
        <v>19</v>
      </c>
      <c r="B48" s="28" t="s">
        <v>10</v>
      </c>
      <c r="C48" s="26" t="s">
        <v>111</v>
      </c>
      <c r="D48" s="27" t="s">
        <v>36</v>
      </c>
      <c r="E48" s="28" t="s">
        <v>31</v>
      </c>
      <c r="F48" s="90">
        <v>40.299999999999997</v>
      </c>
      <c r="G48" s="24"/>
      <c r="H48" s="66">
        <f t="shared" si="5"/>
        <v>0</v>
      </c>
      <c r="I48" s="67">
        <f t="shared" ref="I48:I50" si="8">TRUNC((F48*H48),2)</f>
        <v>0</v>
      </c>
      <c r="J48" s="107" t="e">
        <f>I48/$I$201</f>
        <v>#DIV/0!</v>
      </c>
      <c r="K48" s="17"/>
    </row>
    <row r="49" spans="1:11" s="6" customFormat="1" ht="60" x14ac:dyDescent="0.25">
      <c r="A49" s="86">
        <f t="shared" ref="A49:A50" si="9">A48+1</f>
        <v>20</v>
      </c>
      <c r="B49" s="89" t="s">
        <v>19</v>
      </c>
      <c r="C49" s="89">
        <v>100979</v>
      </c>
      <c r="D49" s="88" t="s">
        <v>76</v>
      </c>
      <c r="E49" s="89" t="s">
        <v>31</v>
      </c>
      <c r="F49" s="90">
        <f>F48*1.4</f>
        <v>56.419999999999995</v>
      </c>
      <c r="G49" s="24"/>
      <c r="H49" s="66">
        <f t="shared" si="5"/>
        <v>0</v>
      </c>
      <c r="I49" s="67">
        <f t="shared" si="8"/>
        <v>0</v>
      </c>
      <c r="J49" s="107" t="e">
        <f>I49/$I$201</f>
        <v>#DIV/0!</v>
      </c>
      <c r="K49" s="17"/>
    </row>
    <row r="50" spans="1:11" s="6" customFormat="1" ht="30" x14ac:dyDescent="0.25">
      <c r="A50" s="86">
        <f t="shared" si="9"/>
        <v>21</v>
      </c>
      <c r="B50" s="89" t="s">
        <v>19</v>
      </c>
      <c r="C50" s="89">
        <v>95876</v>
      </c>
      <c r="D50" s="88" t="s">
        <v>75</v>
      </c>
      <c r="E50" s="89" t="s">
        <v>33</v>
      </c>
      <c r="F50" s="90">
        <f>ROUND((F49*23.1),2)</f>
        <v>1303.3</v>
      </c>
      <c r="G50" s="24"/>
      <c r="H50" s="66">
        <f t="shared" si="5"/>
        <v>0</v>
      </c>
      <c r="I50" s="67">
        <f t="shared" si="8"/>
        <v>0</v>
      </c>
      <c r="J50" s="107" t="e">
        <f>I50/$I$201</f>
        <v>#DIV/0!</v>
      </c>
      <c r="K50" s="17"/>
    </row>
    <row r="51" spans="1:11" s="7" customFormat="1" x14ac:dyDescent="0.25">
      <c r="A51" s="102" t="s">
        <v>158</v>
      </c>
      <c r="B51" s="103"/>
      <c r="C51" s="103"/>
      <c r="D51" s="103" t="s">
        <v>80</v>
      </c>
      <c r="E51" s="103"/>
      <c r="F51" s="104"/>
      <c r="G51" s="103"/>
      <c r="H51" s="103"/>
      <c r="I51" s="105">
        <f>SUM(I52:I54)</f>
        <v>0</v>
      </c>
      <c r="J51" s="106" t="e">
        <f>SUM(J52:J54)</f>
        <v>#DIV/0!</v>
      </c>
      <c r="K51" s="15"/>
    </row>
    <row r="52" spans="1:11" s="6" customFormat="1" ht="45" x14ac:dyDescent="0.25">
      <c r="A52" s="25">
        <f>A50+1</f>
        <v>22</v>
      </c>
      <c r="B52" s="89" t="s">
        <v>19</v>
      </c>
      <c r="C52" s="89">
        <v>100324</v>
      </c>
      <c r="D52" s="88" t="s">
        <v>37</v>
      </c>
      <c r="E52" s="89" t="s">
        <v>31</v>
      </c>
      <c r="F52" s="90">
        <v>5</v>
      </c>
      <c r="G52" s="24"/>
      <c r="H52" s="66">
        <f t="shared" si="5"/>
        <v>0</v>
      </c>
      <c r="I52" s="67">
        <f t="shared" ref="I52:I54" si="10">ROUND((F52*H52),2)</f>
        <v>0</v>
      </c>
      <c r="J52" s="107" t="e">
        <f>I52/$I$201</f>
        <v>#DIV/0!</v>
      </c>
      <c r="K52" s="17"/>
    </row>
    <row r="53" spans="1:11" s="6" customFormat="1" ht="60" x14ac:dyDescent="0.25">
      <c r="A53" s="86">
        <f t="shared" ref="A53:A54" si="11">A52+1</f>
        <v>23</v>
      </c>
      <c r="B53" s="89" t="s">
        <v>19</v>
      </c>
      <c r="C53" s="89">
        <v>100979</v>
      </c>
      <c r="D53" s="88" t="s">
        <v>76</v>
      </c>
      <c r="E53" s="89" t="s">
        <v>31</v>
      </c>
      <c r="F53" s="90">
        <f>F52*1.35</f>
        <v>6.75</v>
      </c>
      <c r="G53" s="24"/>
      <c r="H53" s="66">
        <f t="shared" si="5"/>
        <v>0</v>
      </c>
      <c r="I53" s="67">
        <f t="shared" ref="I53" si="12">ROUND((F53*H53),2)</f>
        <v>0</v>
      </c>
      <c r="J53" s="107" t="e">
        <f>I53/$I$201</f>
        <v>#DIV/0!</v>
      </c>
      <c r="K53" s="17"/>
    </row>
    <row r="54" spans="1:11" s="6" customFormat="1" ht="30" x14ac:dyDescent="0.25">
      <c r="A54" s="86">
        <f t="shared" si="11"/>
        <v>24</v>
      </c>
      <c r="B54" s="89" t="s">
        <v>19</v>
      </c>
      <c r="C54" s="89">
        <v>95876</v>
      </c>
      <c r="D54" s="88" t="s">
        <v>75</v>
      </c>
      <c r="E54" s="89" t="s">
        <v>33</v>
      </c>
      <c r="F54" s="90">
        <f>ROUND((F53*23.1),2)</f>
        <v>155.93</v>
      </c>
      <c r="G54" s="24"/>
      <c r="H54" s="66">
        <f t="shared" si="5"/>
        <v>0</v>
      </c>
      <c r="I54" s="67">
        <f t="shared" si="10"/>
        <v>0</v>
      </c>
      <c r="J54" s="107" t="e">
        <f>I54/$I$201</f>
        <v>#DIV/0!</v>
      </c>
      <c r="K54" s="17"/>
    </row>
    <row r="55" spans="1:11" s="7" customFormat="1" x14ac:dyDescent="0.25">
      <c r="A55" s="102" t="s">
        <v>159</v>
      </c>
      <c r="B55" s="103"/>
      <c r="C55" s="103"/>
      <c r="D55" s="103" t="s">
        <v>81</v>
      </c>
      <c r="E55" s="103"/>
      <c r="F55" s="104"/>
      <c r="G55" s="146"/>
      <c r="H55" s="103"/>
      <c r="I55" s="105">
        <f>SUM(I56:I58)</f>
        <v>0</v>
      </c>
      <c r="J55" s="106" t="e">
        <f>SUM(J56:J58)</f>
        <v>#DIV/0!</v>
      </c>
      <c r="K55" s="15"/>
    </row>
    <row r="56" spans="1:11" s="6" customFormat="1" ht="45" x14ac:dyDescent="0.25">
      <c r="A56" s="25">
        <f>A54+1</f>
        <v>25</v>
      </c>
      <c r="B56" s="89" t="s">
        <v>19</v>
      </c>
      <c r="C56" s="87">
        <v>94310</v>
      </c>
      <c r="D56" s="88" t="s">
        <v>82</v>
      </c>
      <c r="E56" s="89" t="s">
        <v>31</v>
      </c>
      <c r="F56" s="90">
        <f>6.95*13</f>
        <v>90.350000000000009</v>
      </c>
      <c r="G56" s="24"/>
      <c r="H56" s="66">
        <f t="shared" si="5"/>
        <v>0</v>
      </c>
      <c r="I56" s="67">
        <f t="shared" ref="I56:I58" si="13">TRUNC((F56*H56),2)</f>
        <v>0</v>
      </c>
      <c r="J56" s="68" t="e">
        <f>I56/$I$201</f>
        <v>#DIV/0!</v>
      </c>
      <c r="K56" s="15"/>
    </row>
    <row r="57" spans="1:11" s="6" customFormat="1" ht="60" x14ac:dyDescent="0.25">
      <c r="A57" s="86">
        <f t="shared" ref="A57:A58" si="14">A56+1</f>
        <v>26</v>
      </c>
      <c r="B57" s="89" t="s">
        <v>19</v>
      </c>
      <c r="C57" s="89">
        <v>100979</v>
      </c>
      <c r="D57" s="88" t="s">
        <v>76</v>
      </c>
      <c r="E57" s="89" t="s">
        <v>31</v>
      </c>
      <c r="F57" s="90">
        <f>ROUND((F56*1.25),2)</f>
        <v>112.94</v>
      </c>
      <c r="G57" s="24"/>
      <c r="H57" s="66">
        <f t="shared" si="5"/>
        <v>0</v>
      </c>
      <c r="I57" s="67">
        <f t="shared" si="13"/>
        <v>0</v>
      </c>
      <c r="J57" s="68" t="e">
        <f>I57/$I$201</f>
        <v>#DIV/0!</v>
      </c>
      <c r="K57" s="15"/>
    </row>
    <row r="58" spans="1:11" s="6" customFormat="1" ht="30" x14ac:dyDescent="0.25">
      <c r="A58" s="86">
        <f t="shared" si="14"/>
        <v>27</v>
      </c>
      <c r="B58" s="89" t="s">
        <v>19</v>
      </c>
      <c r="C58" s="89">
        <v>95876</v>
      </c>
      <c r="D58" s="88" t="s">
        <v>75</v>
      </c>
      <c r="E58" s="89" t="s">
        <v>33</v>
      </c>
      <c r="F58" s="90">
        <f>ROUND((F57*10.3),2)</f>
        <v>1163.28</v>
      </c>
      <c r="G58" s="24"/>
      <c r="H58" s="66">
        <f t="shared" si="5"/>
        <v>0</v>
      </c>
      <c r="I58" s="67">
        <f t="shared" si="13"/>
        <v>0</v>
      </c>
      <c r="J58" s="68" t="e">
        <f>I58/$I$201</f>
        <v>#DIV/0!</v>
      </c>
      <c r="K58" s="15"/>
    </row>
    <row r="59" spans="1:11" s="1" customFormat="1" x14ac:dyDescent="0.25">
      <c r="A59" s="71" t="s">
        <v>132</v>
      </c>
      <c r="B59" s="72"/>
      <c r="C59" s="72"/>
      <c r="D59" s="73" t="s">
        <v>38</v>
      </c>
      <c r="E59" s="72"/>
      <c r="F59" s="74"/>
      <c r="G59" s="96"/>
      <c r="H59" s="76"/>
      <c r="I59" s="77">
        <f>I61+I65+I67+I72</f>
        <v>0</v>
      </c>
      <c r="J59" s="78" t="e">
        <f>J61+J65+J67+J72</f>
        <v>#DIV/0!</v>
      </c>
      <c r="K59" s="15"/>
    </row>
    <row r="60" spans="1:11" s="1" customFormat="1" x14ac:dyDescent="0.25">
      <c r="A60" s="79"/>
      <c r="B60" s="80"/>
      <c r="C60" s="80"/>
      <c r="D60" s="80"/>
      <c r="E60" s="80"/>
      <c r="F60" s="81"/>
      <c r="G60" s="140"/>
      <c r="H60" s="80"/>
      <c r="I60" s="83"/>
      <c r="J60" s="110"/>
    </row>
    <row r="61" spans="1:11" s="12" customFormat="1" x14ac:dyDescent="0.25">
      <c r="A61" s="144" t="s">
        <v>133</v>
      </c>
      <c r="B61" s="145"/>
      <c r="C61" s="145"/>
      <c r="D61" s="145" t="s">
        <v>83</v>
      </c>
      <c r="E61" s="145"/>
      <c r="F61" s="104"/>
      <c r="G61" s="146"/>
      <c r="H61" s="145"/>
      <c r="I61" s="105">
        <f>SUM(I62:I64)</f>
        <v>0</v>
      </c>
      <c r="J61" s="106" t="e">
        <f>SUM(J62:J64)</f>
        <v>#DIV/0!</v>
      </c>
      <c r="K61" s="15"/>
    </row>
    <row r="62" spans="1:11" s="6" customFormat="1" ht="30" x14ac:dyDescent="0.25">
      <c r="A62" s="86">
        <f>A58+1</f>
        <v>28</v>
      </c>
      <c r="B62" s="89" t="s">
        <v>19</v>
      </c>
      <c r="C62" s="87">
        <v>97102</v>
      </c>
      <c r="D62" s="88" t="s">
        <v>84</v>
      </c>
      <c r="E62" s="89" t="s">
        <v>13</v>
      </c>
      <c r="F62" s="90">
        <v>32.200000000000003</v>
      </c>
      <c r="G62" s="24"/>
      <c r="H62" s="66">
        <f t="shared" ref="H62:H75" si="15">ROUND(G62*(1+$I$2),2)</f>
        <v>0</v>
      </c>
      <c r="I62" s="67">
        <f t="shared" ref="I62:I64" si="16">TRUNC((F62*H62),2)</f>
        <v>0</v>
      </c>
      <c r="J62" s="107" t="e">
        <f>I62/$I$201</f>
        <v>#DIV/0!</v>
      </c>
      <c r="K62" s="17"/>
    </row>
    <row r="63" spans="1:11" s="6" customFormat="1" ht="30" x14ac:dyDescent="0.25">
      <c r="A63" s="86">
        <f t="shared" ref="A63:A64" si="17">A62+1</f>
        <v>29</v>
      </c>
      <c r="B63" s="89" t="s">
        <v>19</v>
      </c>
      <c r="C63" s="87">
        <v>103673</v>
      </c>
      <c r="D63" s="88" t="s">
        <v>85</v>
      </c>
      <c r="E63" s="89" t="s">
        <v>31</v>
      </c>
      <c r="F63" s="90">
        <v>4.8</v>
      </c>
      <c r="G63" s="24"/>
      <c r="H63" s="66">
        <f t="shared" si="15"/>
        <v>0</v>
      </c>
      <c r="I63" s="67">
        <f t="shared" si="16"/>
        <v>0</v>
      </c>
      <c r="J63" s="107" t="e">
        <f>I63/$I$201</f>
        <v>#DIV/0!</v>
      </c>
      <c r="K63" s="17"/>
    </row>
    <row r="64" spans="1:11" s="6" customFormat="1" ht="30" x14ac:dyDescent="0.25">
      <c r="A64" s="86">
        <f t="shared" si="17"/>
        <v>30</v>
      </c>
      <c r="B64" s="89" t="s">
        <v>19</v>
      </c>
      <c r="C64" s="87">
        <v>97914</v>
      </c>
      <c r="D64" s="88" t="s">
        <v>42</v>
      </c>
      <c r="E64" s="89" t="s">
        <v>33</v>
      </c>
      <c r="F64" s="90">
        <v>73</v>
      </c>
      <c r="G64" s="24"/>
      <c r="H64" s="66">
        <f t="shared" si="15"/>
        <v>0</v>
      </c>
      <c r="I64" s="67">
        <f t="shared" si="16"/>
        <v>0</v>
      </c>
      <c r="J64" s="107" t="e">
        <f>I64/$I$201</f>
        <v>#DIV/0!</v>
      </c>
      <c r="K64" s="17"/>
    </row>
    <row r="65" spans="1:11" s="7" customFormat="1" x14ac:dyDescent="0.25">
      <c r="A65" s="144" t="s">
        <v>134</v>
      </c>
      <c r="B65" s="103"/>
      <c r="C65" s="103"/>
      <c r="D65" s="103" t="s">
        <v>86</v>
      </c>
      <c r="E65" s="103"/>
      <c r="F65" s="104"/>
      <c r="G65" s="103"/>
      <c r="H65" s="103"/>
      <c r="I65" s="105">
        <f>I66</f>
        <v>0</v>
      </c>
      <c r="J65" s="106" t="e">
        <f>J66</f>
        <v>#DIV/0!</v>
      </c>
      <c r="K65" s="15"/>
    </row>
    <row r="66" spans="1:11" s="6" customFormat="1" ht="60" x14ac:dyDescent="0.25">
      <c r="A66" s="25">
        <f>A64+1</f>
        <v>31</v>
      </c>
      <c r="B66" s="89" t="s">
        <v>19</v>
      </c>
      <c r="C66" s="89">
        <v>104492</v>
      </c>
      <c r="D66" s="88" t="s">
        <v>87</v>
      </c>
      <c r="E66" s="89" t="s">
        <v>15</v>
      </c>
      <c r="F66" s="90">
        <v>13</v>
      </c>
      <c r="G66" s="24"/>
      <c r="H66" s="66">
        <f t="shared" si="15"/>
        <v>0</v>
      </c>
      <c r="I66" s="67">
        <f>TRUNC((F66*H66),2)</f>
        <v>0</v>
      </c>
      <c r="J66" s="107" t="e">
        <f>I66/$I$201</f>
        <v>#DIV/0!</v>
      </c>
      <c r="K66" s="17"/>
    </row>
    <row r="67" spans="1:11" s="12" customFormat="1" x14ac:dyDescent="0.25">
      <c r="A67" s="144" t="s">
        <v>135</v>
      </c>
      <c r="B67" s="145"/>
      <c r="C67" s="145"/>
      <c r="D67" s="145" t="s">
        <v>88</v>
      </c>
      <c r="E67" s="145"/>
      <c r="F67" s="104"/>
      <c r="G67" s="146"/>
      <c r="H67" s="145"/>
      <c r="I67" s="105">
        <f>SUM(I68:I71)</f>
        <v>0</v>
      </c>
      <c r="J67" s="106" t="e">
        <f>SUM(J68:J70)</f>
        <v>#DIV/0!</v>
      </c>
      <c r="K67" s="15"/>
    </row>
    <row r="68" spans="1:11" s="1" customFormat="1" ht="45" x14ac:dyDescent="0.25">
      <c r="A68" s="25">
        <f>A66+1</f>
        <v>32</v>
      </c>
      <c r="B68" s="28" t="s">
        <v>19</v>
      </c>
      <c r="C68" s="28">
        <v>92413</v>
      </c>
      <c r="D68" s="27" t="s">
        <v>43</v>
      </c>
      <c r="E68" s="28" t="s">
        <v>13</v>
      </c>
      <c r="F68" s="90">
        <v>29.2</v>
      </c>
      <c r="G68" s="24"/>
      <c r="H68" s="66">
        <f t="shared" si="15"/>
        <v>0</v>
      </c>
      <c r="I68" s="67">
        <f t="shared" ref="I68:I71" si="18">TRUNC((F68*H68),2)</f>
        <v>0</v>
      </c>
      <c r="J68" s="107" t="e">
        <f>I68/$I$201</f>
        <v>#DIV/0!</v>
      </c>
      <c r="K68" s="17"/>
    </row>
    <row r="69" spans="1:11" s="1" customFormat="1" ht="30" x14ac:dyDescent="0.25">
      <c r="A69" s="86">
        <f t="shared" ref="A69:A71" si="19">A68+1</f>
        <v>33</v>
      </c>
      <c r="B69" s="28" t="s">
        <v>19</v>
      </c>
      <c r="C69" s="28">
        <v>97092</v>
      </c>
      <c r="D69" s="27" t="s">
        <v>40</v>
      </c>
      <c r="E69" s="28" t="s">
        <v>41</v>
      </c>
      <c r="F69" s="90">
        <v>38.9</v>
      </c>
      <c r="G69" s="24"/>
      <c r="H69" s="66">
        <f t="shared" si="15"/>
        <v>0</v>
      </c>
      <c r="I69" s="67">
        <f t="shared" si="18"/>
        <v>0</v>
      </c>
      <c r="J69" s="107" t="e">
        <f>I69/$I$201</f>
        <v>#DIV/0!</v>
      </c>
      <c r="K69" s="17"/>
    </row>
    <row r="70" spans="1:11" s="1" customFormat="1" ht="30" x14ac:dyDescent="0.25">
      <c r="A70" s="86">
        <f t="shared" si="19"/>
        <v>34</v>
      </c>
      <c r="B70" s="28" t="s">
        <v>19</v>
      </c>
      <c r="C70" s="28">
        <v>103672</v>
      </c>
      <c r="D70" s="27" t="s">
        <v>44</v>
      </c>
      <c r="E70" s="28" t="s">
        <v>31</v>
      </c>
      <c r="F70" s="90">
        <v>1.2</v>
      </c>
      <c r="G70" s="24"/>
      <c r="H70" s="66">
        <f t="shared" si="15"/>
        <v>0</v>
      </c>
      <c r="I70" s="67">
        <f t="shared" si="18"/>
        <v>0</v>
      </c>
      <c r="J70" s="107" t="e">
        <f>I70/$I$201</f>
        <v>#DIV/0!</v>
      </c>
      <c r="K70" s="17"/>
    </row>
    <row r="71" spans="1:11" s="1" customFormat="1" ht="30" x14ac:dyDescent="0.25">
      <c r="A71" s="86">
        <f t="shared" si="19"/>
        <v>35</v>
      </c>
      <c r="B71" s="28" t="s">
        <v>19</v>
      </c>
      <c r="C71" s="28">
        <v>97914</v>
      </c>
      <c r="D71" s="27" t="s">
        <v>42</v>
      </c>
      <c r="E71" s="28" t="s">
        <v>33</v>
      </c>
      <c r="F71" s="90">
        <v>18.7</v>
      </c>
      <c r="G71" s="24"/>
      <c r="H71" s="66">
        <f t="shared" si="15"/>
        <v>0</v>
      </c>
      <c r="I71" s="67">
        <f t="shared" si="18"/>
        <v>0</v>
      </c>
      <c r="J71" s="107" t="e">
        <f>I71/$I$201</f>
        <v>#DIV/0!</v>
      </c>
      <c r="K71" s="17"/>
    </row>
    <row r="72" spans="1:11" s="12" customFormat="1" x14ac:dyDescent="0.25">
      <c r="A72" s="144" t="s">
        <v>136</v>
      </c>
      <c r="B72" s="145"/>
      <c r="C72" s="145"/>
      <c r="D72" s="145" t="s">
        <v>89</v>
      </c>
      <c r="E72" s="145"/>
      <c r="F72" s="104"/>
      <c r="G72" s="146"/>
      <c r="H72" s="145"/>
      <c r="I72" s="105">
        <f>SUM(I73:I75)</f>
        <v>0</v>
      </c>
      <c r="J72" s="106" t="e">
        <f>SUM(J73:J75)</f>
        <v>#DIV/0!</v>
      </c>
      <c r="K72" s="15"/>
    </row>
    <row r="73" spans="1:11" s="6" customFormat="1" ht="30" x14ac:dyDescent="0.25">
      <c r="A73" s="25">
        <f>A71+1</f>
        <v>36</v>
      </c>
      <c r="B73" s="89" t="s">
        <v>19</v>
      </c>
      <c r="C73" s="87">
        <v>97102</v>
      </c>
      <c r="D73" s="88" t="s">
        <v>84</v>
      </c>
      <c r="E73" s="89" t="s">
        <v>13</v>
      </c>
      <c r="F73" s="90">
        <v>29.64</v>
      </c>
      <c r="G73" s="24"/>
      <c r="H73" s="66">
        <f t="shared" si="15"/>
        <v>0</v>
      </c>
      <c r="I73" s="67">
        <f t="shared" ref="I73:I75" si="20">TRUNC((F73*H73),2)</f>
        <v>0</v>
      </c>
      <c r="J73" s="107" t="e">
        <f>I73/$I$201</f>
        <v>#DIV/0!</v>
      </c>
      <c r="K73" s="17"/>
    </row>
    <row r="74" spans="1:11" s="6" customFormat="1" ht="30" x14ac:dyDescent="0.25">
      <c r="A74" s="86">
        <f t="shared" ref="A74:A75" si="21">A73+1</f>
        <v>37</v>
      </c>
      <c r="B74" s="89" t="s">
        <v>19</v>
      </c>
      <c r="C74" s="87">
        <v>103673</v>
      </c>
      <c r="D74" s="88" t="s">
        <v>85</v>
      </c>
      <c r="E74" s="89" t="s">
        <v>31</v>
      </c>
      <c r="F74" s="90">
        <v>4.45</v>
      </c>
      <c r="G74" s="24"/>
      <c r="H74" s="66">
        <f t="shared" si="15"/>
        <v>0</v>
      </c>
      <c r="I74" s="67">
        <f t="shared" si="20"/>
        <v>0</v>
      </c>
      <c r="J74" s="107" t="e">
        <f>I74/$I$201</f>
        <v>#DIV/0!</v>
      </c>
      <c r="K74" s="17"/>
    </row>
    <row r="75" spans="1:11" s="6" customFormat="1" ht="30" x14ac:dyDescent="0.25">
      <c r="A75" s="86">
        <f t="shared" si="21"/>
        <v>38</v>
      </c>
      <c r="B75" s="89" t="s">
        <v>19</v>
      </c>
      <c r="C75" s="87">
        <v>97914</v>
      </c>
      <c r="D75" s="88" t="s">
        <v>42</v>
      </c>
      <c r="E75" s="89" t="s">
        <v>33</v>
      </c>
      <c r="F75" s="90">
        <v>67.2</v>
      </c>
      <c r="G75" s="24"/>
      <c r="H75" s="66">
        <f t="shared" si="15"/>
        <v>0</v>
      </c>
      <c r="I75" s="67">
        <f t="shared" si="20"/>
        <v>0</v>
      </c>
      <c r="J75" s="107" t="e">
        <f>I75/$I$201</f>
        <v>#DIV/0!</v>
      </c>
      <c r="K75" s="17"/>
    </row>
    <row r="76" spans="1:11" s="6" customFormat="1" x14ac:dyDescent="0.25">
      <c r="A76" s="86"/>
      <c r="B76" s="89"/>
      <c r="C76" s="89"/>
      <c r="D76" s="88"/>
      <c r="E76" s="89"/>
      <c r="F76" s="29"/>
      <c r="G76" s="141"/>
      <c r="H76" s="30"/>
      <c r="I76" s="32"/>
      <c r="J76" s="142"/>
      <c r="K76" s="15"/>
    </row>
    <row r="77" spans="1:11" s="1" customFormat="1" x14ac:dyDescent="0.25">
      <c r="A77" s="71" t="s">
        <v>137</v>
      </c>
      <c r="B77" s="72"/>
      <c r="C77" s="72"/>
      <c r="D77" s="73" t="s">
        <v>45</v>
      </c>
      <c r="E77" s="72"/>
      <c r="F77" s="74"/>
      <c r="G77" s="75"/>
      <c r="H77" s="76"/>
      <c r="I77" s="77">
        <f>I79</f>
        <v>0</v>
      </c>
      <c r="J77" s="78" t="e">
        <f>J79</f>
        <v>#DIV/0!</v>
      </c>
      <c r="K77" s="15"/>
    </row>
    <row r="78" spans="1:11" s="6" customFormat="1" x14ac:dyDescent="0.25">
      <c r="A78" s="99"/>
      <c r="B78" s="82"/>
      <c r="C78" s="82"/>
      <c r="D78" s="82"/>
      <c r="E78" s="82"/>
      <c r="F78" s="81"/>
      <c r="G78" s="82"/>
      <c r="H78" s="82"/>
      <c r="I78" s="83"/>
      <c r="J78" s="143"/>
    </row>
    <row r="79" spans="1:11" s="7" customFormat="1" x14ac:dyDescent="0.25">
      <c r="A79" s="102" t="s">
        <v>138</v>
      </c>
      <c r="B79" s="103"/>
      <c r="C79" s="103"/>
      <c r="D79" s="103" t="s">
        <v>95</v>
      </c>
      <c r="E79" s="103"/>
      <c r="F79" s="104"/>
      <c r="G79" s="103"/>
      <c r="H79" s="103"/>
      <c r="I79" s="105">
        <f>SUM(I80:I87)</f>
        <v>0</v>
      </c>
      <c r="J79" s="106" t="e">
        <f>SUM(J80:J82)</f>
        <v>#DIV/0!</v>
      </c>
      <c r="K79" s="15"/>
    </row>
    <row r="80" spans="1:11" s="6" customFormat="1" ht="21" customHeight="1" x14ac:dyDescent="0.25">
      <c r="A80" s="86">
        <f>A75+1</f>
        <v>39</v>
      </c>
      <c r="B80" s="87" t="s">
        <v>63</v>
      </c>
      <c r="C80" s="87">
        <v>1106057</v>
      </c>
      <c r="D80" s="88" t="s">
        <v>90</v>
      </c>
      <c r="E80" s="89" t="s">
        <v>31</v>
      </c>
      <c r="F80" s="90">
        <v>2.1</v>
      </c>
      <c r="G80" s="24"/>
      <c r="H80" s="66">
        <f t="shared" ref="H80:H87" si="22">ROUND(G80*(1+$I$2),2)</f>
        <v>0</v>
      </c>
      <c r="I80" s="67">
        <f t="shared" ref="I80:I87" si="23">TRUNC((F80*H80),2)</f>
        <v>0</v>
      </c>
      <c r="J80" s="107" t="e">
        <f t="shared" ref="J80:J87" si="24">I80/$I$201</f>
        <v>#DIV/0!</v>
      </c>
      <c r="K80" s="17"/>
    </row>
    <row r="81" spans="1:11" s="6" customFormat="1" ht="45" x14ac:dyDescent="0.25">
      <c r="A81" s="86">
        <f t="shared" ref="A81:A87" si="25">A80+1</f>
        <v>40</v>
      </c>
      <c r="B81" s="87" t="s">
        <v>19</v>
      </c>
      <c r="C81" s="87">
        <v>97086</v>
      </c>
      <c r="D81" s="88" t="s">
        <v>39</v>
      </c>
      <c r="E81" s="89" t="s">
        <v>13</v>
      </c>
      <c r="F81" s="90">
        <v>57.8</v>
      </c>
      <c r="G81" s="24"/>
      <c r="H81" s="66">
        <f t="shared" si="22"/>
        <v>0</v>
      </c>
      <c r="I81" s="67">
        <f t="shared" si="23"/>
        <v>0</v>
      </c>
      <c r="J81" s="107" t="e">
        <f t="shared" si="24"/>
        <v>#DIV/0!</v>
      </c>
      <c r="K81" s="17"/>
    </row>
    <row r="82" spans="1:11" s="6" customFormat="1" ht="30" x14ac:dyDescent="0.25">
      <c r="A82" s="86">
        <f t="shared" si="25"/>
        <v>41</v>
      </c>
      <c r="B82" s="87" t="s">
        <v>19</v>
      </c>
      <c r="C82" s="87">
        <v>97096</v>
      </c>
      <c r="D82" s="88" t="s">
        <v>91</v>
      </c>
      <c r="E82" s="89" t="s">
        <v>31</v>
      </c>
      <c r="F82" s="90">
        <v>19.600000000000001</v>
      </c>
      <c r="G82" s="24"/>
      <c r="H82" s="66">
        <f t="shared" si="22"/>
        <v>0</v>
      </c>
      <c r="I82" s="67">
        <f t="shared" si="23"/>
        <v>0</v>
      </c>
      <c r="J82" s="107" t="e">
        <f t="shared" si="24"/>
        <v>#DIV/0!</v>
      </c>
      <c r="K82" s="17"/>
    </row>
    <row r="83" spans="1:11" s="6" customFormat="1" ht="30" x14ac:dyDescent="0.25">
      <c r="A83" s="86">
        <f t="shared" si="25"/>
        <v>42</v>
      </c>
      <c r="B83" s="87" t="s">
        <v>19</v>
      </c>
      <c r="C83" s="87">
        <v>97914</v>
      </c>
      <c r="D83" s="88" t="s">
        <v>42</v>
      </c>
      <c r="E83" s="89" t="s">
        <v>33</v>
      </c>
      <c r="F83" s="90">
        <v>295.39999999999998</v>
      </c>
      <c r="G83" s="24"/>
      <c r="H83" s="66">
        <f t="shared" si="22"/>
        <v>0</v>
      </c>
      <c r="I83" s="67">
        <f t="shared" si="23"/>
        <v>0</v>
      </c>
      <c r="J83" s="107" t="e">
        <f t="shared" si="24"/>
        <v>#DIV/0!</v>
      </c>
      <c r="K83" s="17"/>
    </row>
    <row r="84" spans="1:11" s="6" customFormat="1" ht="30" x14ac:dyDescent="0.25">
      <c r="A84" s="86">
        <f t="shared" si="25"/>
        <v>43</v>
      </c>
      <c r="B84" s="87" t="s">
        <v>19</v>
      </c>
      <c r="C84" s="87">
        <v>102728</v>
      </c>
      <c r="D84" s="88" t="s">
        <v>94</v>
      </c>
      <c r="E84" s="89" t="s">
        <v>41</v>
      </c>
      <c r="F84" s="90">
        <v>54.8</v>
      </c>
      <c r="G84" s="24"/>
      <c r="H84" s="66">
        <f t="shared" si="22"/>
        <v>0</v>
      </c>
      <c r="I84" s="67">
        <f t="shared" si="23"/>
        <v>0</v>
      </c>
      <c r="J84" s="107" t="e">
        <f t="shared" si="24"/>
        <v>#DIV/0!</v>
      </c>
      <c r="K84" s="17"/>
    </row>
    <row r="85" spans="1:11" s="6" customFormat="1" ht="30" x14ac:dyDescent="0.25">
      <c r="A85" s="86">
        <f t="shared" si="25"/>
        <v>44</v>
      </c>
      <c r="B85" s="87" t="s">
        <v>19</v>
      </c>
      <c r="C85" s="87">
        <v>102729</v>
      </c>
      <c r="D85" s="88" t="s">
        <v>96</v>
      </c>
      <c r="E85" s="89" t="s">
        <v>41</v>
      </c>
      <c r="F85" s="90">
        <v>575.6</v>
      </c>
      <c r="G85" s="24"/>
      <c r="H85" s="66">
        <f t="shared" si="22"/>
        <v>0</v>
      </c>
      <c r="I85" s="67">
        <f t="shared" si="23"/>
        <v>0</v>
      </c>
      <c r="J85" s="107" t="e">
        <f t="shared" si="24"/>
        <v>#DIV/0!</v>
      </c>
      <c r="K85" s="17"/>
    </row>
    <row r="86" spans="1:11" s="6" customFormat="1" ht="30" x14ac:dyDescent="0.25">
      <c r="A86" s="86">
        <f t="shared" si="25"/>
        <v>45</v>
      </c>
      <c r="B86" s="87" t="s">
        <v>19</v>
      </c>
      <c r="C86" s="87">
        <v>102730</v>
      </c>
      <c r="D86" s="88" t="s">
        <v>92</v>
      </c>
      <c r="E86" s="89" t="s">
        <v>41</v>
      </c>
      <c r="F86" s="90">
        <v>287.39999999999998</v>
      </c>
      <c r="G86" s="24"/>
      <c r="H86" s="66">
        <f t="shared" si="22"/>
        <v>0</v>
      </c>
      <c r="I86" s="67">
        <f t="shared" si="23"/>
        <v>0</v>
      </c>
      <c r="J86" s="107" t="e">
        <f t="shared" si="24"/>
        <v>#DIV/0!</v>
      </c>
      <c r="K86" s="17"/>
    </row>
    <row r="87" spans="1:11" s="6" customFormat="1" ht="30" x14ac:dyDescent="0.25">
      <c r="A87" s="86">
        <f t="shared" si="25"/>
        <v>46</v>
      </c>
      <c r="B87" s="87" t="s">
        <v>19</v>
      </c>
      <c r="C87" s="87">
        <v>102731</v>
      </c>
      <c r="D87" s="88" t="s">
        <v>93</v>
      </c>
      <c r="E87" s="89" t="s">
        <v>41</v>
      </c>
      <c r="F87" s="90">
        <v>212.4</v>
      </c>
      <c r="G87" s="24"/>
      <c r="H87" s="66">
        <f t="shared" si="22"/>
        <v>0</v>
      </c>
      <c r="I87" s="67">
        <f t="shared" si="23"/>
        <v>0</v>
      </c>
      <c r="J87" s="107" t="e">
        <f t="shared" si="24"/>
        <v>#DIV/0!</v>
      </c>
      <c r="K87" s="17"/>
    </row>
    <row r="88" spans="1:11" s="1" customFormat="1" x14ac:dyDescent="0.25">
      <c r="A88" s="71" t="s">
        <v>154</v>
      </c>
      <c r="B88" s="72"/>
      <c r="C88" s="72"/>
      <c r="D88" s="73" t="s">
        <v>47</v>
      </c>
      <c r="E88" s="72"/>
      <c r="F88" s="74"/>
      <c r="G88" s="75"/>
      <c r="H88" s="76"/>
      <c r="I88" s="77">
        <f>SUM(I90:I98)</f>
        <v>0</v>
      </c>
      <c r="J88" s="78" t="e">
        <f>ROUND((SUM(J89:J94)),4)</f>
        <v>#DIV/0!</v>
      </c>
      <c r="K88" s="15"/>
    </row>
    <row r="89" spans="1:11" s="1" customFormat="1" x14ac:dyDescent="0.25">
      <c r="A89" s="79"/>
      <c r="B89" s="80"/>
      <c r="C89" s="80"/>
      <c r="D89" s="80"/>
      <c r="E89" s="80"/>
      <c r="F89" s="81"/>
      <c r="G89" s="82"/>
      <c r="H89" s="80"/>
      <c r="I89" s="83"/>
      <c r="J89" s="110"/>
      <c r="K89" s="15"/>
    </row>
    <row r="90" spans="1:11" s="6" customFormat="1" ht="42" customHeight="1" x14ac:dyDescent="0.25">
      <c r="A90" s="86">
        <f>A87+1</f>
        <v>47</v>
      </c>
      <c r="B90" s="89" t="s">
        <v>19</v>
      </c>
      <c r="C90" s="89">
        <v>100576</v>
      </c>
      <c r="D90" s="88" t="s">
        <v>48</v>
      </c>
      <c r="E90" s="89" t="s">
        <v>13</v>
      </c>
      <c r="F90" s="29">
        <f>4.88*13</f>
        <v>63.44</v>
      </c>
      <c r="G90" s="24"/>
      <c r="H90" s="31">
        <f>ROUND(G90*(1+$I$2),2)</f>
        <v>0</v>
      </c>
      <c r="I90" s="32">
        <f t="shared" ref="I90:I98" si="26">TRUNC((F90*H90),2)</f>
        <v>0</v>
      </c>
      <c r="J90" s="68" t="e">
        <f t="shared" ref="J90:J98" si="27">I90/$I$201</f>
        <v>#DIV/0!</v>
      </c>
      <c r="K90" s="15"/>
    </row>
    <row r="91" spans="1:11" s="6" customFormat="1" ht="30" customHeight="1" x14ac:dyDescent="0.25">
      <c r="A91" s="86">
        <f t="shared" ref="A91:A98" si="28">A90+1</f>
        <v>48</v>
      </c>
      <c r="B91" s="89" t="s">
        <v>19</v>
      </c>
      <c r="C91" s="89">
        <v>96396</v>
      </c>
      <c r="D91" s="88" t="s">
        <v>49</v>
      </c>
      <c r="E91" s="89" t="s">
        <v>31</v>
      </c>
      <c r="F91" s="29">
        <f>ROUND((F90*0.15),2)</f>
        <v>9.52</v>
      </c>
      <c r="G91" s="24"/>
      <c r="H91" s="31">
        <f t="shared" ref="H91:H98" si="29">ROUND(G91*(1+$I$2),2)</f>
        <v>0</v>
      </c>
      <c r="I91" s="32">
        <f t="shared" si="26"/>
        <v>0</v>
      </c>
      <c r="J91" s="68" t="e">
        <f t="shared" si="27"/>
        <v>#DIV/0!</v>
      </c>
      <c r="K91" s="15"/>
    </row>
    <row r="92" spans="1:11" s="6" customFormat="1" ht="60" x14ac:dyDescent="0.25">
      <c r="A92" s="86">
        <f t="shared" si="28"/>
        <v>49</v>
      </c>
      <c r="B92" s="89" t="s">
        <v>19</v>
      </c>
      <c r="C92" s="89">
        <v>100979</v>
      </c>
      <c r="D92" s="88" t="s">
        <v>76</v>
      </c>
      <c r="E92" s="89" t="s">
        <v>31</v>
      </c>
      <c r="F92" s="29">
        <f>ROUND((F91*1.35),2)</f>
        <v>12.85</v>
      </c>
      <c r="G92" s="24"/>
      <c r="H92" s="31">
        <f t="shared" si="29"/>
        <v>0</v>
      </c>
      <c r="I92" s="32">
        <f t="shared" si="26"/>
        <v>0</v>
      </c>
      <c r="J92" s="68" t="e">
        <f t="shared" si="27"/>
        <v>#DIV/0!</v>
      </c>
      <c r="K92" s="15"/>
    </row>
    <row r="93" spans="1:11" s="6" customFormat="1" ht="30" x14ac:dyDescent="0.25">
      <c r="A93" s="86">
        <f t="shared" si="28"/>
        <v>50</v>
      </c>
      <c r="B93" s="89" t="s">
        <v>19</v>
      </c>
      <c r="C93" s="89">
        <v>95876</v>
      </c>
      <c r="D93" s="88" t="s">
        <v>75</v>
      </c>
      <c r="E93" s="89" t="s">
        <v>33</v>
      </c>
      <c r="F93" s="29">
        <f>ROUND((F92*23.1),2)</f>
        <v>296.83999999999997</v>
      </c>
      <c r="G93" s="24"/>
      <c r="H93" s="31">
        <f t="shared" si="29"/>
        <v>0</v>
      </c>
      <c r="I93" s="32">
        <f t="shared" si="26"/>
        <v>0</v>
      </c>
      <c r="J93" s="68" t="e">
        <f t="shared" si="27"/>
        <v>#DIV/0!</v>
      </c>
      <c r="K93" s="15"/>
    </row>
    <row r="94" spans="1:11" s="6" customFormat="1" ht="60" x14ac:dyDescent="0.25">
      <c r="A94" s="86">
        <f t="shared" si="28"/>
        <v>51</v>
      </c>
      <c r="B94" s="89" t="s">
        <v>19</v>
      </c>
      <c r="C94" s="89">
        <v>94273</v>
      </c>
      <c r="D94" s="88" t="s">
        <v>50</v>
      </c>
      <c r="E94" s="89" t="s">
        <v>15</v>
      </c>
      <c r="F94" s="29">
        <v>28</v>
      </c>
      <c r="G94" s="24"/>
      <c r="H94" s="31">
        <f t="shared" si="29"/>
        <v>0</v>
      </c>
      <c r="I94" s="32">
        <f t="shared" si="26"/>
        <v>0</v>
      </c>
      <c r="J94" s="68" t="e">
        <f t="shared" si="27"/>
        <v>#DIV/0!</v>
      </c>
      <c r="K94" s="15"/>
    </row>
    <row r="95" spans="1:11" s="6" customFormat="1" x14ac:dyDescent="0.25">
      <c r="A95" s="86">
        <f t="shared" si="28"/>
        <v>52</v>
      </c>
      <c r="B95" s="89" t="s">
        <v>10</v>
      </c>
      <c r="C95" s="87" t="s">
        <v>108</v>
      </c>
      <c r="D95" s="88" t="s">
        <v>67</v>
      </c>
      <c r="E95" s="89" t="s">
        <v>13</v>
      </c>
      <c r="F95" s="29">
        <f>F90</f>
        <v>63.44</v>
      </c>
      <c r="G95" s="24"/>
      <c r="H95" s="31">
        <f t="shared" si="29"/>
        <v>0</v>
      </c>
      <c r="I95" s="32">
        <f t="shared" si="26"/>
        <v>0</v>
      </c>
      <c r="J95" s="68" t="e">
        <f t="shared" si="27"/>
        <v>#DIV/0!</v>
      </c>
      <c r="K95" s="15"/>
    </row>
    <row r="96" spans="1:11" s="6" customFormat="1" x14ac:dyDescent="0.25">
      <c r="A96" s="86">
        <f t="shared" si="28"/>
        <v>53</v>
      </c>
      <c r="B96" s="89" t="s">
        <v>10</v>
      </c>
      <c r="C96" s="87" t="s">
        <v>109</v>
      </c>
      <c r="D96" s="88" t="s">
        <v>51</v>
      </c>
      <c r="E96" s="89" t="s">
        <v>13</v>
      </c>
      <c r="F96" s="29">
        <f>F95</f>
        <v>63.44</v>
      </c>
      <c r="G96" s="24"/>
      <c r="H96" s="31">
        <f t="shared" si="29"/>
        <v>0</v>
      </c>
      <c r="I96" s="32">
        <f t="shared" si="26"/>
        <v>0</v>
      </c>
      <c r="J96" s="68" t="e">
        <f t="shared" si="27"/>
        <v>#DIV/0!</v>
      </c>
      <c r="K96" s="15"/>
    </row>
    <row r="97" spans="1:13" s="6" customFormat="1" ht="30" x14ac:dyDescent="0.25">
      <c r="A97" s="86">
        <f t="shared" si="28"/>
        <v>54</v>
      </c>
      <c r="B97" s="89" t="s">
        <v>10</v>
      </c>
      <c r="C97" s="89" t="s">
        <v>52</v>
      </c>
      <c r="D97" s="88" t="s">
        <v>53</v>
      </c>
      <c r="E97" s="89" t="s">
        <v>31</v>
      </c>
      <c r="F97" s="29">
        <f>ROUND((F96*0.05),2)</f>
        <v>3.17</v>
      </c>
      <c r="G97" s="24"/>
      <c r="H97" s="31">
        <f t="shared" si="29"/>
        <v>0</v>
      </c>
      <c r="I97" s="32">
        <f t="shared" si="26"/>
        <v>0</v>
      </c>
      <c r="J97" s="68" t="e">
        <f t="shared" si="27"/>
        <v>#DIV/0!</v>
      </c>
      <c r="K97" s="15"/>
    </row>
    <row r="98" spans="1:13" s="8" customFormat="1" ht="30" x14ac:dyDescent="0.2">
      <c r="A98" s="86">
        <f t="shared" si="28"/>
        <v>55</v>
      </c>
      <c r="B98" s="89" t="s">
        <v>19</v>
      </c>
      <c r="C98" s="89">
        <v>95876</v>
      </c>
      <c r="D98" s="88" t="s">
        <v>75</v>
      </c>
      <c r="E98" s="89" t="s">
        <v>33</v>
      </c>
      <c r="F98" s="29">
        <f>ROUND((F97*28.5*1.6),2)</f>
        <v>144.55000000000001</v>
      </c>
      <c r="G98" s="24"/>
      <c r="H98" s="31">
        <f t="shared" si="29"/>
        <v>0</v>
      </c>
      <c r="I98" s="32">
        <f t="shared" si="26"/>
        <v>0</v>
      </c>
      <c r="J98" s="68" t="e">
        <f t="shared" si="27"/>
        <v>#DIV/0!</v>
      </c>
      <c r="K98" s="15"/>
    </row>
    <row r="99" spans="1:13" s="1" customFormat="1" x14ac:dyDescent="0.25">
      <c r="A99" s="71" t="s">
        <v>155</v>
      </c>
      <c r="B99" s="72"/>
      <c r="C99" s="72"/>
      <c r="D99" s="73" t="s">
        <v>59</v>
      </c>
      <c r="E99" s="72"/>
      <c r="F99" s="74"/>
      <c r="G99" s="96"/>
      <c r="H99" s="76"/>
      <c r="I99" s="77">
        <f>SUM(I101:I105)</f>
        <v>0</v>
      </c>
      <c r="J99" s="78" t="e">
        <f>ROUND((SUM(J100:J105)),4)</f>
        <v>#DIV/0!</v>
      </c>
      <c r="K99" s="15"/>
    </row>
    <row r="100" spans="1:13" s="1" customFormat="1" x14ac:dyDescent="0.25">
      <c r="A100" s="79"/>
      <c r="B100" s="80"/>
      <c r="C100" s="80"/>
      <c r="D100" s="80"/>
      <c r="E100" s="80"/>
      <c r="F100" s="81"/>
      <c r="G100" s="140"/>
      <c r="H100" s="80"/>
      <c r="I100" s="83"/>
      <c r="J100" s="110"/>
      <c r="K100" s="15"/>
    </row>
    <row r="101" spans="1:13" s="4" customFormat="1" ht="30" x14ac:dyDescent="0.2">
      <c r="A101" s="86">
        <f>A98+1</f>
        <v>56</v>
      </c>
      <c r="B101" s="28" t="s">
        <v>19</v>
      </c>
      <c r="C101" s="28">
        <v>13244</v>
      </c>
      <c r="D101" s="69" t="s">
        <v>71</v>
      </c>
      <c r="E101" s="28" t="s">
        <v>11</v>
      </c>
      <c r="F101" s="90">
        <v>5</v>
      </c>
      <c r="G101" s="24"/>
      <c r="H101" s="66">
        <f t="shared" ref="H101:H105" si="30">ROUND(G101*(1+$I$2),2)</f>
        <v>0</v>
      </c>
      <c r="I101" s="67">
        <f t="shared" ref="I101:I105" si="31">TRUNC((F101*H101),2)</f>
        <v>0</v>
      </c>
      <c r="J101" s="107" t="e">
        <f>I101/$I$201</f>
        <v>#DIV/0!</v>
      </c>
      <c r="K101" s="17"/>
    </row>
    <row r="102" spans="1:13" s="4" customFormat="1" x14ac:dyDescent="0.2">
      <c r="A102" s="86">
        <f t="shared" ref="A102:A105" si="32">A101+1</f>
        <v>57</v>
      </c>
      <c r="B102" s="28" t="s">
        <v>60</v>
      </c>
      <c r="C102" s="28" t="s">
        <v>61</v>
      </c>
      <c r="D102" s="27" t="s">
        <v>62</v>
      </c>
      <c r="E102" s="28" t="s">
        <v>11</v>
      </c>
      <c r="F102" s="90">
        <v>5</v>
      </c>
      <c r="G102" s="24"/>
      <c r="H102" s="66">
        <f t="shared" si="30"/>
        <v>0</v>
      </c>
      <c r="I102" s="67">
        <f t="shared" si="31"/>
        <v>0</v>
      </c>
      <c r="J102" s="107" t="e">
        <f>I102/$I$201</f>
        <v>#DIV/0!</v>
      </c>
      <c r="K102" s="17"/>
    </row>
    <row r="103" spans="1:13" s="4" customFormat="1" ht="30" x14ac:dyDescent="0.2">
      <c r="A103" s="86">
        <f t="shared" si="32"/>
        <v>58</v>
      </c>
      <c r="B103" s="28" t="s">
        <v>63</v>
      </c>
      <c r="C103" s="28">
        <v>5213842</v>
      </c>
      <c r="D103" s="27" t="s">
        <v>69</v>
      </c>
      <c r="E103" s="28" t="s">
        <v>15</v>
      </c>
      <c r="F103" s="90">
        <v>100</v>
      </c>
      <c r="G103" s="24"/>
      <c r="H103" s="66">
        <f t="shared" si="30"/>
        <v>0</v>
      </c>
      <c r="I103" s="67">
        <f t="shared" si="31"/>
        <v>0</v>
      </c>
      <c r="J103" s="107" t="e">
        <f>I103/$I$201</f>
        <v>#DIV/0!</v>
      </c>
      <c r="K103" s="17"/>
    </row>
    <row r="104" spans="1:13" s="4" customFormat="1" ht="30" x14ac:dyDescent="0.2">
      <c r="A104" s="86">
        <f t="shared" si="32"/>
        <v>59</v>
      </c>
      <c r="B104" s="28" t="s">
        <v>10</v>
      </c>
      <c r="C104" s="26" t="s">
        <v>68</v>
      </c>
      <c r="D104" s="27" t="s">
        <v>64</v>
      </c>
      <c r="E104" s="28" t="s">
        <v>15</v>
      </c>
      <c r="F104" s="90">
        <v>100</v>
      </c>
      <c r="G104" s="24"/>
      <c r="H104" s="66">
        <f t="shared" si="30"/>
        <v>0</v>
      </c>
      <c r="I104" s="67">
        <f t="shared" si="31"/>
        <v>0</v>
      </c>
      <c r="J104" s="107" t="e">
        <f>I104/$I$201</f>
        <v>#DIV/0!</v>
      </c>
      <c r="K104" s="17"/>
    </row>
    <row r="105" spans="1:13" s="4" customFormat="1" ht="45" x14ac:dyDescent="0.2">
      <c r="A105" s="86">
        <f t="shared" si="32"/>
        <v>60</v>
      </c>
      <c r="B105" s="28" t="s">
        <v>63</v>
      </c>
      <c r="C105" s="28">
        <v>5212560</v>
      </c>
      <c r="D105" s="27" t="s">
        <v>70</v>
      </c>
      <c r="E105" s="28" t="s">
        <v>11</v>
      </c>
      <c r="F105" s="90">
        <v>2</v>
      </c>
      <c r="G105" s="24"/>
      <c r="H105" s="66">
        <f t="shared" si="30"/>
        <v>0</v>
      </c>
      <c r="I105" s="67">
        <f t="shared" si="31"/>
        <v>0</v>
      </c>
      <c r="J105" s="107" t="e">
        <f>I105/$I$201</f>
        <v>#DIV/0!</v>
      </c>
      <c r="K105" s="17"/>
    </row>
    <row r="106" spans="1:13" s="4" customFormat="1" x14ac:dyDescent="0.2">
      <c r="A106" s="121"/>
      <c r="B106" s="122"/>
      <c r="C106" s="122"/>
      <c r="D106" s="123"/>
      <c r="E106" s="122"/>
      <c r="F106" s="53"/>
      <c r="G106" s="124"/>
      <c r="H106" s="55"/>
      <c r="I106" s="54"/>
      <c r="J106" s="125"/>
      <c r="K106" s="16"/>
    </row>
    <row r="107" spans="1:13" s="2" customFormat="1" ht="15.75" x14ac:dyDescent="0.25">
      <c r="A107" s="126" t="s">
        <v>166</v>
      </c>
      <c r="B107" s="127"/>
      <c r="C107" s="127"/>
      <c r="D107" s="128" t="s">
        <v>102</v>
      </c>
      <c r="E107" s="129"/>
      <c r="F107" s="130"/>
      <c r="G107" s="131"/>
      <c r="H107" s="132"/>
      <c r="I107" s="133">
        <f>I108+I113+I116</f>
        <v>0</v>
      </c>
      <c r="J107" s="134" t="e">
        <f>J108+J113+J116</f>
        <v>#DIV/0!</v>
      </c>
      <c r="K107" s="15"/>
      <c r="M107" s="11"/>
    </row>
    <row r="108" spans="1:13" s="3" customFormat="1" x14ac:dyDescent="0.25">
      <c r="A108" s="111" t="s">
        <v>139</v>
      </c>
      <c r="B108" s="112"/>
      <c r="C108" s="112"/>
      <c r="D108" s="113" t="s">
        <v>9</v>
      </c>
      <c r="E108" s="114"/>
      <c r="F108" s="115"/>
      <c r="G108" s="116"/>
      <c r="H108" s="117"/>
      <c r="I108" s="118">
        <f>SUM(I110:I112)</f>
        <v>0</v>
      </c>
      <c r="J108" s="119" t="e">
        <f>ROUND((SUM(J109:J112)),4)</f>
        <v>#DIV/0!</v>
      </c>
      <c r="K108" s="15"/>
    </row>
    <row r="109" spans="1:13" s="1" customFormat="1" x14ac:dyDescent="0.25">
      <c r="A109" s="135"/>
      <c r="B109" s="136"/>
      <c r="C109" s="136"/>
      <c r="D109" s="136"/>
      <c r="E109" s="136"/>
      <c r="F109" s="137"/>
      <c r="G109" s="138"/>
      <c r="H109" s="136"/>
      <c r="I109" s="139"/>
      <c r="J109" s="110"/>
      <c r="K109" s="15"/>
    </row>
    <row r="110" spans="1:13" s="13" customFormat="1" x14ac:dyDescent="0.25">
      <c r="A110" s="25">
        <v>61</v>
      </c>
      <c r="B110" s="26" t="s">
        <v>10</v>
      </c>
      <c r="C110" s="26" t="s">
        <v>112</v>
      </c>
      <c r="D110" s="27" t="s">
        <v>9</v>
      </c>
      <c r="E110" s="28" t="s">
        <v>11</v>
      </c>
      <c r="F110" s="90">
        <v>1</v>
      </c>
      <c r="G110" s="24"/>
      <c r="H110" s="66">
        <f>ROUND(((G110+(G110*$I$2))),2)</f>
        <v>0</v>
      </c>
      <c r="I110" s="67">
        <f t="shared" ref="I110:I112" si="33">TRUNC((F110*H110),2)</f>
        <v>0</v>
      </c>
      <c r="J110" s="107" t="e">
        <f>I110/$I$201</f>
        <v>#DIV/0!</v>
      </c>
      <c r="K110" s="17"/>
    </row>
    <row r="111" spans="1:13" s="13" customFormat="1" ht="30" x14ac:dyDescent="0.25">
      <c r="A111" s="25">
        <v>62</v>
      </c>
      <c r="B111" s="26" t="s">
        <v>10</v>
      </c>
      <c r="C111" s="26" t="s">
        <v>113</v>
      </c>
      <c r="D111" s="27" t="s">
        <v>12</v>
      </c>
      <c r="E111" s="28" t="s">
        <v>13</v>
      </c>
      <c r="F111" s="90">
        <v>3500</v>
      </c>
      <c r="G111" s="24"/>
      <c r="H111" s="66">
        <f t="shared" ref="H111:H112" si="34">ROUND(((G111+(G111*$I$2))),2)</f>
        <v>0</v>
      </c>
      <c r="I111" s="67">
        <f t="shared" si="33"/>
        <v>0</v>
      </c>
      <c r="J111" s="107" t="e">
        <f>I111/$I$201</f>
        <v>#DIV/0!</v>
      </c>
      <c r="K111" s="17"/>
    </row>
    <row r="112" spans="1:13" s="13" customFormat="1" x14ac:dyDescent="0.25">
      <c r="A112" s="25">
        <v>63</v>
      </c>
      <c r="B112" s="26" t="s">
        <v>10</v>
      </c>
      <c r="C112" s="26" t="s">
        <v>114</v>
      </c>
      <c r="D112" s="27" t="s">
        <v>14</v>
      </c>
      <c r="E112" s="28" t="s">
        <v>15</v>
      </c>
      <c r="F112" s="90">
        <v>20</v>
      </c>
      <c r="G112" s="24"/>
      <c r="H112" s="66">
        <f t="shared" si="34"/>
        <v>0</v>
      </c>
      <c r="I112" s="67">
        <f t="shared" si="33"/>
        <v>0</v>
      </c>
      <c r="J112" s="107" t="e">
        <f>I112/$I$201</f>
        <v>#DIV/0!</v>
      </c>
      <c r="K112" s="17"/>
    </row>
    <row r="113" spans="1:14" s="3" customFormat="1" x14ac:dyDescent="0.25">
      <c r="A113" s="111" t="s">
        <v>140</v>
      </c>
      <c r="B113" s="112"/>
      <c r="C113" s="112"/>
      <c r="D113" s="113" t="s">
        <v>16</v>
      </c>
      <c r="E113" s="114"/>
      <c r="F113" s="115"/>
      <c r="G113" s="116"/>
      <c r="H113" s="117"/>
      <c r="I113" s="118">
        <f>I115</f>
        <v>0</v>
      </c>
      <c r="J113" s="119" t="e">
        <f>ROUND(J115,4)</f>
        <v>#DIV/0!</v>
      </c>
      <c r="K113" s="15"/>
    </row>
    <row r="114" spans="1:14" s="13" customFormat="1" x14ac:dyDescent="0.25">
      <c r="A114" s="79"/>
      <c r="B114" s="80"/>
      <c r="C114" s="80"/>
      <c r="D114" s="80"/>
      <c r="E114" s="80"/>
      <c r="F114" s="81"/>
      <c r="G114" s="82"/>
      <c r="H114" s="80"/>
      <c r="I114" s="83"/>
      <c r="J114" s="120"/>
      <c r="K114" s="15"/>
    </row>
    <row r="115" spans="1:14" s="13" customFormat="1" x14ac:dyDescent="0.25">
      <c r="A115" s="25">
        <v>64</v>
      </c>
      <c r="B115" s="26" t="s">
        <v>10</v>
      </c>
      <c r="C115" s="26" t="s">
        <v>115</v>
      </c>
      <c r="D115" s="27" t="s">
        <v>16</v>
      </c>
      <c r="E115" s="28" t="s">
        <v>11</v>
      </c>
      <c r="F115" s="90">
        <v>1</v>
      </c>
      <c r="G115" s="24"/>
      <c r="H115" s="66">
        <f>ROUND(((G115+(G115*$I$2))),2)</f>
        <v>0</v>
      </c>
      <c r="I115" s="67">
        <f>TRUNC((F115*H115),2)</f>
        <v>0</v>
      </c>
      <c r="J115" s="107" t="e">
        <f>I115/$I$201</f>
        <v>#DIV/0!</v>
      </c>
      <c r="K115" s="17"/>
    </row>
    <row r="116" spans="1:14" s="3" customFormat="1" x14ac:dyDescent="0.25">
      <c r="A116" s="111" t="s">
        <v>141</v>
      </c>
      <c r="B116" s="112"/>
      <c r="C116" s="112"/>
      <c r="D116" s="113" t="s">
        <v>17</v>
      </c>
      <c r="E116" s="114"/>
      <c r="F116" s="115"/>
      <c r="G116" s="116"/>
      <c r="H116" s="117"/>
      <c r="I116" s="118">
        <f>I118+I123+I132+I151+I168+I181+I192</f>
        <v>0</v>
      </c>
      <c r="J116" s="119" t="e">
        <f>J118+J123+J132+J151+J168+J181+J192</f>
        <v>#DIV/0!</v>
      </c>
      <c r="K116" s="15"/>
    </row>
    <row r="117" spans="1:14" s="13" customFormat="1" x14ac:dyDescent="0.25">
      <c r="A117" s="79"/>
      <c r="B117" s="80"/>
      <c r="C117" s="80"/>
      <c r="D117" s="80"/>
      <c r="E117" s="80"/>
      <c r="F117" s="81"/>
      <c r="G117" s="82"/>
      <c r="H117" s="80"/>
      <c r="I117" s="83"/>
      <c r="J117" s="120"/>
      <c r="K117" s="15"/>
    </row>
    <row r="118" spans="1:14" s="1" customFormat="1" x14ac:dyDescent="0.25">
      <c r="A118" s="71" t="s">
        <v>142</v>
      </c>
      <c r="B118" s="108"/>
      <c r="C118" s="108"/>
      <c r="D118" s="73" t="s">
        <v>20</v>
      </c>
      <c r="E118" s="72"/>
      <c r="F118" s="74"/>
      <c r="G118" s="96"/>
      <c r="H118" s="109"/>
      <c r="I118" s="97">
        <f>SUM(I120:I122)</f>
        <v>0</v>
      </c>
      <c r="J118" s="78" t="e">
        <f>ROUND(SUM(J119:J122),4)</f>
        <v>#DIV/0!</v>
      </c>
      <c r="K118" s="15"/>
    </row>
    <row r="119" spans="1:14" s="13" customFormat="1" x14ac:dyDescent="0.25">
      <c r="A119" s="79"/>
      <c r="B119" s="80"/>
      <c r="C119" s="80"/>
      <c r="D119" s="80"/>
      <c r="E119" s="80"/>
      <c r="F119" s="81"/>
      <c r="G119" s="82"/>
      <c r="H119" s="80"/>
      <c r="I119" s="83"/>
      <c r="J119" s="110"/>
      <c r="K119" s="15"/>
    </row>
    <row r="120" spans="1:14" s="13" customFormat="1" ht="30" x14ac:dyDescent="0.25">
      <c r="A120" s="25">
        <v>65</v>
      </c>
      <c r="B120" s="26" t="s">
        <v>19</v>
      </c>
      <c r="C120" s="26">
        <v>103689</v>
      </c>
      <c r="D120" s="27" t="s">
        <v>21</v>
      </c>
      <c r="E120" s="28" t="s">
        <v>13</v>
      </c>
      <c r="F120" s="90">
        <v>6.48</v>
      </c>
      <c r="G120" s="24"/>
      <c r="H120" s="66">
        <f t="shared" ref="H120:H122" si="35">ROUND(((G120+(G120*$I$2))),2)</f>
        <v>0</v>
      </c>
      <c r="I120" s="67">
        <f t="shared" ref="I120:I122" si="36">TRUNC((F120*H120),2)</f>
        <v>0</v>
      </c>
      <c r="J120" s="107" t="e">
        <f>I120/$I$201</f>
        <v>#DIV/0!</v>
      </c>
      <c r="K120" s="17"/>
    </row>
    <row r="121" spans="1:14" s="13" customFormat="1" ht="45" x14ac:dyDescent="0.25">
      <c r="A121" s="25">
        <v>66</v>
      </c>
      <c r="B121" s="26" t="s">
        <v>77</v>
      </c>
      <c r="C121" s="26" t="s">
        <v>22</v>
      </c>
      <c r="D121" s="27" t="s">
        <v>23</v>
      </c>
      <c r="E121" s="28" t="s">
        <v>24</v>
      </c>
      <c r="F121" s="90">
        <v>3</v>
      </c>
      <c r="G121" s="24"/>
      <c r="H121" s="66">
        <f t="shared" si="35"/>
        <v>0</v>
      </c>
      <c r="I121" s="67">
        <f t="shared" si="36"/>
        <v>0</v>
      </c>
      <c r="J121" s="107" t="e">
        <f>I121/$I$201</f>
        <v>#DIV/0!</v>
      </c>
      <c r="K121" s="17"/>
    </row>
    <row r="122" spans="1:14" s="13" customFormat="1" x14ac:dyDescent="0.25">
      <c r="A122" s="25">
        <v>67</v>
      </c>
      <c r="B122" s="26" t="s">
        <v>10</v>
      </c>
      <c r="C122" s="26" t="s">
        <v>116</v>
      </c>
      <c r="D122" s="27" t="s">
        <v>25</v>
      </c>
      <c r="E122" s="28" t="s">
        <v>11</v>
      </c>
      <c r="F122" s="90">
        <v>1</v>
      </c>
      <c r="G122" s="24"/>
      <c r="H122" s="66">
        <f t="shared" si="35"/>
        <v>0</v>
      </c>
      <c r="I122" s="67">
        <f t="shared" si="36"/>
        <v>0</v>
      </c>
      <c r="J122" s="107" t="e">
        <f>I122/$I$201</f>
        <v>#DIV/0!</v>
      </c>
      <c r="K122" s="17"/>
    </row>
    <row r="123" spans="1:14" s="1" customFormat="1" x14ac:dyDescent="0.25">
      <c r="A123" s="71" t="s">
        <v>143</v>
      </c>
      <c r="B123" s="108"/>
      <c r="C123" s="108"/>
      <c r="D123" s="73" t="s">
        <v>26</v>
      </c>
      <c r="E123" s="72"/>
      <c r="F123" s="74"/>
      <c r="G123" s="96"/>
      <c r="H123" s="109"/>
      <c r="I123" s="97">
        <f>SUM(I125:I131)</f>
        <v>0</v>
      </c>
      <c r="J123" s="78" t="e">
        <f>ROUND(SUM(J124:J131),4)</f>
        <v>#DIV/0!</v>
      </c>
      <c r="K123" s="15"/>
    </row>
    <row r="124" spans="1:14" s="13" customFormat="1" x14ac:dyDescent="0.25">
      <c r="A124" s="79"/>
      <c r="B124" s="80"/>
      <c r="C124" s="80"/>
      <c r="D124" s="80"/>
      <c r="E124" s="80"/>
      <c r="F124" s="81"/>
      <c r="G124" s="82"/>
      <c r="H124" s="80"/>
      <c r="I124" s="83"/>
      <c r="J124" s="110"/>
      <c r="K124" s="15"/>
    </row>
    <row r="125" spans="1:14" s="13" customFormat="1" ht="30" x14ac:dyDescent="0.25">
      <c r="A125" s="25">
        <v>68</v>
      </c>
      <c r="B125" s="26" t="s">
        <v>10</v>
      </c>
      <c r="C125" s="26" t="s">
        <v>117</v>
      </c>
      <c r="D125" s="27" t="s">
        <v>72</v>
      </c>
      <c r="E125" s="28" t="s">
        <v>15</v>
      </c>
      <c r="F125" s="90">
        <v>40</v>
      </c>
      <c r="G125" s="24"/>
      <c r="H125" s="66">
        <f t="shared" ref="H125:H131" si="37">ROUND(((G125+(G125*$I$2))),2)</f>
        <v>0</v>
      </c>
      <c r="I125" s="67">
        <f t="shared" ref="I125:I131" si="38">TRUNC((F125*H125),2)</f>
        <v>0</v>
      </c>
      <c r="J125" s="107" t="e">
        <f t="shared" ref="J125:J131" si="39">I125/$I$201</f>
        <v>#DIV/0!</v>
      </c>
      <c r="K125" s="17"/>
    </row>
    <row r="126" spans="1:14" s="13" customFormat="1" ht="60" x14ac:dyDescent="0.25">
      <c r="A126" s="25">
        <v>69</v>
      </c>
      <c r="B126" s="26" t="s">
        <v>19</v>
      </c>
      <c r="C126" s="26">
        <v>92832</v>
      </c>
      <c r="D126" s="27" t="s">
        <v>27</v>
      </c>
      <c r="E126" s="28" t="s">
        <v>15</v>
      </c>
      <c r="F126" s="90">
        <v>5</v>
      </c>
      <c r="G126" s="24"/>
      <c r="H126" s="66">
        <f t="shared" si="37"/>
        <v>0</v>
      </c>
      <c r="I126" s="67">
        <f t="shared" si="38"/>
        <v>0</v>
      </c>
      <c r="J126" s="107" t="e">
        <f t="shared" si="39"/>
        <v>#DIV/0!</v>
      </c>
      <c r="K126" s="17"/>
    </row>
    <row r="127" spans="1:14" s="6" customFormat="1" ht="30" x14ac:dyDescent="0.25">
      <c r="A127" s="25">
        <v>70</v>
      </c>
      <c r="B127" s="26" t="s">
        <v>19</v>
      </c>
      <c r="C127" s="26">
        <v>97636</v>
      </c>
      <c r="D127" s="27" t="s">
        <v>28</v>
      </c>
      <c r="E127" s="28" t="s">
        <v>13</v>
      </c>
      <c r="F127" s="90">
        <v>683</v>
      </c>
      <c r="G127" s="24"/>
      <c r="H127" s="66">
        <f t="shared" si="37"/>
        <v>0</v>
      </c>
      <c r="I127" s="67">
        <f t="shared" si="38"/>
        <v>0</v>
      </c>
      <c r="J127" s="107" t="e">
        <f t="shared" si="39"/>
        <v>#DIV/0!</v>
      </c>
      <c r="K127" s="21"/>
      <c r="L127" s="22"/>
      <c r="N127" s="22"/>
    </row>
    <row r="128" spans="1:14" s="9" customFormat="1" ht="30" x14ac:dyDescent="0.25">
      <c r="A128" s="25">
        <v>71</v>
      </c>
      <c r="B128" s="26" t="s">
        <v>19</v>
      </c>
      <c r="C128" s="26">
        <v>104796</v>
      </c>
      <c r="D128" s="27" t="s">
        <v>29</v>
      </c>
      <c r="E128" s="28" t="s">
        <v>15</v>
      </c>
      <c r="F128" s="90">
        <v>150</v>
      </c>
      <c r="G128" s="24"/>
      <c r="H128" s="66">
        <f t="shared" si="37"/>
        <v>0</v>
      </c>
      <c r="I128" s="67">
        <f t="shared" si="38"/>
        <v>0</v>
      </c>
      <c r="J128" s="107" t="e">
        <f t="shared" si="39"/>
        <v>#DIV/0!</v>
      </c>
      <c r="K128" s="17"/>
    </row>
    <row r="129" spans="1:11" s="9" customFormat="1" ht="30" x14ac:dyDescent="0.25">
      <c r="A129" s="25">
        <v>72</v>
      </c>
      <c r="B129" s="26" t="s">
        <v>19</v>
      </c>
      <c r="C129" s="26">
        <v>97625</v>
      </c>
      <c r="D129" s="27" t="s">
        <v>98</v>
      </c>
      <c r="E129" s="28" t="s">
        <v>31</v>
      </c>
      <c r="F129" s="90">
        <v>3.5</v>
      </c>
      <c r="G129" s="24"/>
      <c r="H129" s="66">
        <f t="shared" si="37"/>
        <v>0</v>
      </c>
      <c r="I129" s="67">
        <f t="shared" si="38"/>
        <v>0</v>
      </c>
      <c r="J129" s="107" t="e">
        <f t="shared" si="39"/>
        <v>#DIV/0!</v>
      </c>
      <c r="K129" s="17"/>
    </row>
    <row r="130" spans="1:11" s="9" customFormat="1" ht="60" x14ac:dyDescent="0.25">
      <c r="A130" s="25">
        <v>73</v>
      </c>
      <c r="B130" s="26" t="s">
        <v>19</v>
      </c>
      <c r="C130" s="26">
        <v>100982</v>
      </c>
      <c r="D130" s="27" t="s">
        <v>30</v>
      </c>
      <c r="E130" s="28" t="s">
        <v>31</v>
      </c>
      <c r="F130" s="90">
        <v>154</v>
      </c>
      <c r="G130" s="24"/>
      <c r="H130" s="66">
        <f t="shared" si="37"/>
        <v>0</v>
      </c>
      <c r="I130" s="67">
        <f t="shared" si="38"/>
        <v>0</v>
      </c>
      <c r="J130" s="107" t="e">
        <f t="shared" si="39"/>
        <v>#DIV/0!</v>
      </c>
      <c r="K130" s="17"/>
    </row>
    <row r="131" spans="1:11" s="9" customFormat="1" ht="30" x14ac:dyDescent="0.25">
      <c r="A131" s="86">
        <v>74</v>
      </c>
      <c r="B131" s="87" t="s">
        <v>19</v>
      </c>
      <c r="C131" s="87">
        <v>95876</v>
      </c>
      <c r="D131" s="88" t="s">
        <v>75</v>
      </c>
      <c r="E131" s="89" t="s">
        <v>33</v>
      </c>
      <c r="F131" s="90">
        <f>F130*30</f>
        <v>4620</v>
      </c>
      <c r="G131" s="24"/>
      <c r="H131" s="101">
        <f t="shared" si="37"/>
        <v>0</v>
      </c>
      <c r="I131" s="67">
        <f t="shared" si="38"/>
        <v>0</v>
      </c>
      <c r="J131" s="107" t="e">
        <f t="shared" si="39"/>
        <v>#DIV/0!</v>
      </c>
      <c r="K131" s="17"/>
    </row>
    <row r="132" spans="1:11" s="9" customFormat="1" x14ac:dyDescent="0.25">
      <c r="A132" s="92" t="s">
        <v>144</v>
      </c>
      <c r="B132" s="93"/>
      <c r="C132" s="93"/>
      <c r="D132" s="94" t="s">
        <v>34</v>
      </c>
      <c r="E132" s="95"/>
      <c r="F132" s="74"/>
      <c r="G132" s="96"/>
      <c r="H132" s="96"/>
      <c r="I132" s="97">
        <f>I134+I139+I143+I147</f>
        <v>0</v>
      </c>
      <c r="J132" s="98" t="e">
        <f>J134+J139+J143+J147</f>
        <v>#DIV/0!</v>
      </c>
      <c r="K132" s="15"/>
    </row>
    <row r="133" spans="1:11" s="9" customFormat="1" x14ac:dyDescent="0.25">
      <c r="A133" s="99"/>
      <c r="B133" s="82"/>
      <c r="C133" s="82"/>
      <c r="D133" s="82"/>
      <c r="E133" s="82"/>
      <c r="F133" s="81"/>
      <c r="G133" s="82"/>
      <c r="H133" s="82"/>
      <c r="I133" s="83"/>
      <c r="J133" s="100"/>
      <c r="K133" s="15"/>
    </row>
    <row r="134" spans="1:11" s="7" customFormat="1" x14ac:dyDescent="0.25">
      <c r="A134" s="102" t="s">
        <v>160</v>
      </c>
      <c r="B134" s="103"/>
      <c r="C134" s="103"/>
      <c r="D134" s="103" t="s">
        <v>78</v>
      </c>
      <c r="E134" s="103"/>
      <c r="F134" s="104"/>
      <c r="G134" s="103"/>
      <c r="H134" s="103"/>
      <c r="I134" s="105">
        <f>SUM(I135:I138)</f>
        <v>0</v>
      </c>
      <c r="J134" s="106" t="e">
        <f>SUM(J135:J138)</f>
        <v>#DIV/0!</v>
      </c>
      <c r="K134" s="15"/>
    </row>
    <row r="135" spans="1:11" s="9" customFormat="1" ht="60" x14ac:dyDescent="0.25">
      <c r="A135" s="86">
        <v>75</v>
      </c>
      <c r="B135" s="87" t="s">
        <v>19</v>
      </c>
      <c r="C135" s="87">
        <v>102288</v>
      </c>
      <c r="D135" s="88" t="s">
        <v>35</v>
      </c>
      <c r="E135" s="89" t="s">
        <v>31</v>
      </c>
      <c r="F135" s="90">
        <v>2180</v>
      </c>
      <c r="G135" s="24"/>
      <c r="H135" s="101">
        <f t="shared" ref="H135:H150" si="40">ROUND(((G135+(G135*$I$2))),2)</f>
        <v>0</v>
      </c>
      <c r="I135" s="67">
        <f t="shared" ref="I135:I138" si="41">TRUNC((F135*H135),2)</f>
        <v>0</v>
      </c>
      <c r="J135" s="68" t="e">
        <f>I135/$I$201</f>
        <v>#DIV/0!</v>
      </c>
      <c r="K135" s="15"/>
    </row>
    <row r="136" spans="1:11" s="9" customFormat="1" ht="60" x14ac:dyDescent="0.25">
      <c r="A136" s="86">
        <v>76</v>
      </c>
      <c r="B136" s="87" t="s">
        <v>19</v>
      </c>
      <c r="C136" s="87">
        <v>100979</v>
      </c>
      <c r="D136" s="88" t="s">
        <v>76</v>
      </c>
      <c r="E136" s="89" t="s">
        <v>31</v>
      </c>
      <c r="F136" s="90">
        <f>F135*1.25</f>
        <v>2725</v>
      </c>
      <c r="G136" s="24"/>
      <c r="H136" s="101">
        <f t="shared" si="40"/>
        <v>0</v>
      </c>
      <c r="I136" s="67">
        <f t="shared" si="41"/>
        <v>0</v>
      </c>
      <c r="J136" s="68" t="e">
        <f>I136/$I$201</f>
        <v>#DIV/0!</v>
      </c>
      <c r="K136" s="15"/>
    </row>
    <row r="137" spans="1:11" s="9" customFormat="1" ht="30" x14ac:dyDescent="0.25">
      <c r="A137" s="86">
        <v>77</v>
      </c>
      <c r="B137" s="87" t="s">
        <v>19</v>
      </c>
      <c r="C137" s="87">
        <v>95876</v>
      </c>
      <c r="D137" s="88" t="s">
        <v>32</v>
      </c>
      <c r="E137" s="89" t="s">
        <v>33</v>
      </c>
      <c r="F137" s="90">
        <f>F136*7</f>
        <v>19075</v>
      </c>
      <c r="G137" s="24"/>
      <c r="H137" s="101">
        <f t="shared" si="40"/>
        <v>0</v>
      </c>
      <c r="I137" s="67">
        <f t="shared" si="41"/>
        <v>0</v>
      </c>
      <c r="J137" s="68" t="e">
        <f>I137/$I$201</f>
        <v>#DIV/0!</v>
      </c>
      <c r="K137" s="15"/>
    </row>
    <row r="138" spans="1:11" s="7" customFormat="1" ht="45" x14ac:dyDescent="0.25">
      <c r="A138" s="86">
        <v>78</v>
      </c>
      <c r="B138" s="87" t="s">
        <v>19</v>
      </c>
      <c r="C138" s="87" t="e">
        <f>#REF!</f>
        <v>#REF!</v>
      </c>
      <c r="D138" s="88" t="s">
        <v>167</v>
      </c>
      <c r="E138" s="89" t="s">
        <v>13</v>
      </c>
      <c r="F138" s="70">
        <v>1118</v>
      </c>
      <c r="G138" s="24"/>
      <c r="H138" s="101">
        <f t="shared" ref="H138" si="42">ROUND(((G138+(G138*$I$2))),2)</f>
        <v>0</v>
      </c>
      <c r="I138" s="67">
        <f t="shared" si="41"/>
        <v>0</v>
      </c>
      <c r="J138" s="68" t="e">
        <f>I138/$I$201</f>
        <v>#DIV/0!</v>
      </c>
      <c r="K138" s="15"/>
    </row>
    <row r="139" spans="1:11" s="9" customFormat="1" x14ac:dyDescent="0.25">
      <c r="A139" s="102" t="s">
        <v>161</v>
      </c>
      <c r="B139" s="103"/>
      <c r="C139" s="103"/>
      <c r="D139" s="103" t="s">
        <v>79</v>
      </c>
      <c r="E139" s="103"/>
      <c r="F139" s="104"/>
      <c r="G139" s="103"/>
      <c r="H139" s="103"/>
      <c r="I139" s="105">
        <f>SUM(I140:I142)</f>
        <v>0</v>
      </c>
      <c r="J139" s="106" t="e">
        <f>SUM(J140:J142)</f>
        <v>#DIV/0!</v>
      </c>
      <c r="K139" s="15"/>
    </row>
    <row r="140" spans="1:11" s="9" customFormat="1" x14ac:dyDescent="0.25">
      <c r="A140" s="86">
        <v>79</v>
      </c>
      <c r="B140" s="87" t="s">
        <v>10</v>
      </c>
      <c r="C140" s="87" t="s">
        <v>170</v>
      </c>
      <c r="D140" s="88" t="s">
        <v>36</v>
      </c>
      <c r="E140" s="89" t="s">
        <v>31</v>
      </c>
      <c r="F140" s="90">
        <f>140*0.8*3.88</f>
        <v>434.56</v>
      </c>
      <c r="G140" s="24"/>
      <c r="H140" s="101">
        <f t="shared" si="40"/>
        <v>0</v>
      </c>
      <c r="I140" s="67">
        <f t="shared" ref="I140:I142" si="43">TRUNC((F140*H140),2)</f>
        <v>0</v>
      </c>
      <c r="J140" s="68" t="e">
        <f>I140/$I$201</f>
        <v>#DIV/0!</v>
      </c>
      <c r="K140" s="15"/>
    </row>
    <row r="141" spans="1:11" s="9" customFormat="1" ht="60" x14ac:dyDescent="0.25">
      <c r="A141" s="86">
        <v>80</v>
      </c>
      <c r="B141" s="87" t="s">
        <v>19</v>
      </c>
      <c r="C141" s="87">
        <v>100979</v>
      </c>
      <c r="D141" s="88" t="s">
        <v>76</v>
      </c>
      <c r="E141" s="89" t="s">
        <v>31</v>
      </c>
      <c r="F141" s="90">
        <f>ROUND((F140*1.4),2)</f>
        <v>608.38</v>
      </c>
      <c r="G141" s="24"/>
      <c r="H141" s="101">
        <f t="shared" ref="H141" si="44">ROUND(((G141+(G141*$I$2))),2)</f>
        <v>0</v>
      </c>
      <c r="I141" s="67">
        <f t="shared" si="43"/>
        <v>0</v>
      </c>
      <c r="J141" s="68" t="e">
        <f>I141/$I$201</f>
        <v>#DIV/0!</v>
      </c>
      <c r="K141" s="15"/>
    </row>
    <row r="142" spans="1:11" s="7" customFormat="1" ht="30" x14ac:dyDescent="0.25">
      <c r="A142" s="86">
        <v>81</v>
      </c>
      <c r="B142" s="87" t="s">
        <v>19</v>
      </c>
      <c r="C142" s="87">
        <v>95876</v>
      </c>
      <c r="D142" s="88" t="s">
        <v>32</v>
      </c>
      <c r="E142" s="89" t="s">
        <v>33</v>
      </c>
      <c r="F142" s="90">
        <f>ROUND((F141*23.1),2)</f>
        <v>14053.58</v>
      </c>
      <c r="G142" s="24"/>
      <c r="H142" s="101">
        <f t="shared" si="40"/>
        <v>0</v>
      </c>
      <c r="I142" s="67">
        <f t="shared" si="43"/>
        <v>0</v>
      </c>
      <c r="J142" s="68" t="e">
        <f>I142/$I$201</f>
        <v>#DIV/0!</v>
      </c>
      <c r="K142" s="15"/>
    </row>
    <row r="143" spans="1:11" s="9" customFormat="1" x14ac:dyDescent="0.25">
      <c r="A143" s="102" t="s">
        <v>162</v>
      </c>
      <c r="B143" s="103"/>
      <c r="C143" s="103"/>
      <c r="D143" s="103" t="s">
        <v>80</v>
      </c>
      <c r="E143" s="103"/>
      <c r="F143" s="104"/>
      <c r="G143" s="103"/>
      <c r="H143" s="103"/>
      <c r="I143" s="105">
        <f>SUM(I144:I146)</f>
        <v>0</v>
      </c>
      <c r="J143" s="106" t="e">
        <f>SUM(J144:J146)</f>
        <v>#DIV/0!</v>
      </c>
      <c r="K143" s="15"/>
    </row>
    <row r="144" spans="1:11" s="9" customFormat="1" ht="39.75" customHeight="1" x14ac:dyDescent="0.25">
      <c r="A144" s="86">
        <v>82</v>
      </c>
      <c r="B144" s="87" t="s">
        <v>19</v>
      </c>
      <c r="C144" s="87">
        <v>100324</v>
      </c>
      <c r="D144" s="88" t="s">
        <v>37</v>
      </c>
      <c r="E144" s="89" t="s">
        <v>31</v>
      </c>
      <c r="F144" s="90">
        <f>140*0.1*3.88</f>
        <v>54.32</v>
      </c>
      <c r="G144" s="24"/>
      <c r="H144" s="101">
        <f t="shared" si="40"/>
        <v>0</v>
      </c>
      <c r="I144" s="67">
        <f t="shared" ref="I144:I146" si="45">TRUNC((F144*H144),2)</f>
        <v>0</v>
      </c>
      <c r="J144" s="85" t="e">
        <f>(I144/$I$201)</f>
        <v>#DIV/0!</v>
      </c>
      <c r="K144" s="15"/>
    </row>
    <row r="145" spans="1:11" s="9" customFormat="1" ht="60" x14ac:dyDescent="0.25">
      <c r="A145" s="86">
        <v>83</v>
      </c>
      <c r="B145" s="87" t="s">
        <v>19</v>
      </c>
      <c r="C145" s="87">
        <v>100979</v>
      </c>
      <c r="D145" s="88" t="s">
        <v>76</v>
      </c>
      <c r="E145" s="89" t="s">
        <v>31</v>
      </c>
      <c r="F145" s="90">
        <f>ROUND((F144*1.35),2)</f>
        <v>73.33</v>
      </c>
      <c r="G145" s="24"/>
      <c r="H145" s="101">
        <f t="shared" ref="H145" si="46">ROUND(((G145+(G145*$I$2))),2)</f>
        <v>0</v>
      </c>
      <c r="I145" s="67">
        <f t="shared" si="45"/>
        <v>0</v>
      </c>
      <c r="J145" s="85" t="e">
        <f>(I145/$I$201)</f>
        <v>#DIV/0!</v>
      </c>
      <c r="K145" s="15"/>
    </row>
    <row r="146" spans="1:11" s="6" customFormat="1" ht="30" x14ac:dyDescent="0.25">
      <c r="A146" s="86">
        <v>84</v>
      </c>
      <c r="B146" s="87" t="s">
        <v>19</v>
      </c>
      <c r="C146" s="87">
        <v>95876</v>
      </c>
      <c r="D146" s="88" t="s">
        <v>75</v>
      </c>
      <c r="E146" s="89" t="s">
        <v>33</v>
      </c>
      <c r="F146" s="90">
        <f>ROUND((F145*23.1),2)</f>
        <v>1693.92</v>
      </c>
      <c r="G146" s="24"/>
      <c r="H146" s="101">
        <f t="shared" si="40"/>
        <v>0</v>
      </c>
      <c r="I146" s="67">
        <f t="shared" si="45"/>
        <v>0</v>
      </c>
      <c r="J146" s="85" t="e">
        <f>(I146/$I$201)</f>
        <v>#DIV/0!</v>
      </c>
      <c r="K146" s="15"/>
    </row>
    <row r="147" spans="1:11" s="9" customFormat="1" x14ac:dyDescent="0.25">
      <c r="A147" s="102" t="s">
        <v>163</v>
      </c>
      <c r="B147" s="103"/>
      <c r="C147" s="103"/>
      <c r="D147" s="103" t="s">
        <v>81</v>
      </c>
      <c r="E147" s="103"/>
      <c r="F147" s="104"/>
      <c r="G147" s="103"/>
      <c r="H147" s="103"/>
      <c r="I147" s="105">
        <f>SUM(I148:I150)</f>
        <v>0</v>
      </c>
      <c r="J147" s="106" t="e">
        <f>SUM(J148:J150)</f>
        <v>#DIV/0!</v>
      </c>
      <c r="K147" s="15"/>
    </row>
    <row r="148" spans="1:11" s="7" customFormat="1" ht="45" x14ac:dyDescent="0.25">
      <c r="A148" s="86">
        <v>85</v>
      </c>
      <c r="B148" s="87" t="s">
        <v>19</v>
      </c>
      <c r="C148" s="87">
        <v>94310</v>
      </c>
      <c r="D148" s="88" t="s">
        <v>82</v>
      </c>
      <c r="E148" s="89" t="s">
        <v>31</v>
      </c>
      <c r="F148" s="90">
        <f>6.95*140</f>
        <v>973</v>
      </c>
      <c r="G148" s="24"/>
      <c r="H148" s="101">
        <f t="shared" si="40"/>
        <v>0</v>
      </c>
      <c r="I148" s="67">
        <f t="shared" ref="I148:I150" si="47">TRUNC((F148*H148),2)</f>
        <v>0</v>
      </c>
      <c r="J148" s="85" t="e">
        <f>(I148/$I$201)</f>
        <v>#DIV/0!</v>
      </c>
      <c r="K148" s="15"/>
    </row>
    <row r="149" spans="1:11" s="9" customFormat="1" ht="60" x14ac:dyDescent="0.25">
      <c r="A149" s="86">
        <v>86</v>
      </c>
      <c r="B149" s="87" t="s">
        <v>19</v>
      </c>
      <c r="C149" s="87">
        <v>100979</v>
      </c>
      <c r="D149" s="88" t="s">
        <v>76</v>
      </c>
      <c r="E149" s="89" t="s">
        <v>31</v>
      </c>
      <c r="F149" s="90">
        <f>ROUND((F148*1.25),2)</f>
        <v>1216.25</v>
      </c>
      <c r="G149" s="24"/>
      <c r="H149" s="101">
        <f t="shared" si="40"/>
        <v>0</v>
      </c>
      <c r="I149" s="67">
        <f t="shared" si="47"/>
        <v>0</v>
      </c>
      <c r="J149" s="85" t="e">
        <f>(I149/$I$201)</f>
        <v>#DIV/0!</v>
      </c>
      <c r="K149" s="15"/>
    </row>
    <row r="150" spans="1:11" s="9" customFormat="1" ht="30" x14ac:dyDescent="0.25">
      <c r="A150" s="86">
        <v>87</v>
      </c>
      <c r="B150" s="87" t="s">
        <v>19</v>
      </c>
      <c r="C150" s="87">
        <v>95876</v>
      </c>
      <c r="D150" s="88" t="s">
        <v>32</v>
      </c>
      <c r="E150" s="89" t="s">
        <v>33</v>
      </c>
      <c r="F150" s="90">
        <f>ROUND((F149*10.3),2)</f>
        <v>12527.38</v>
      </c>
      <c r="G150" s="24"/>
      <c r="H150" s="101">
        <f t="shared" si="40"/>
        <v>0</v>
      </c>
      <c r="I150" s="67">
        <f t="shared" si="47"/>
        <v>0</v>
      </c>
      <c r="J150" s="85" t="e">
        <f>(I150/$I$201)</f>
        <v>#DIV/0!</v>
      </c>
      <c r="K150" s="15"/>
    </row>
    <row r="151" spans="1:11" s="9" customFormat="1" x14ac:dyDescent="0.25">
      <c r="A151" s="92" t="s">
        <v>145</v>
      </c>
      <c r="B151" s="93"/>
      <c r="C151" s="93"/>
      <c r="D151" s="94" t="s">
        <v>38</v>
      </c>
      <c r="E151" s="95"/>
      <c r="F151" s="74"/>
      <c r="G151" s="96"/>
      <c r="H151" s="96"/>
      <c r="I151" s="97">
        <f>I153+I157+I159+I164</f>
        <v>0</v>
      </c>
      <c r="J151" s="98" t="e">
        <f>J153+J157+J159+J164</f>
        <v>#DIV/0!</v>
      </c>
      <c r="K151" s="15"/>
    </row>
    <row r="152" spans="1:11" s="7" customFormat="1" x14ac:dyDescent="0.25">
      <c r="A152" s="99"/>
      <c r="B152" s="82"/>
      <c r="C152" s="82"/>
      <c r="D152" s="82"/>
      <c r="E152" s="82"/>
      <c r="F152" s="81"/>
      <c r="G152" s="82"/>
      <c r="H152" s="82"/>
      <c r="I152" s="83"/>
      <c r="J152" s="100"/>
    </row>
    <row r="153" spans="1:11" s="9" customFormat="1" x14ac:dyDescent="0.25">
      <c r="A153" s="102" t="s">
        <v>146</v>
      </c>
      <c r="B153" s="103"/>
      <c r="C153" s="103"/>
      <c r="D153" s="103" t="s">
        <v>83</v>
      </c>
      <c r="E153" s="103"/>
      <c r="F153" s="104"/>
      <c r="G153" s="103"/>
      <c r="H153" s="103"/>
      <c r="I153" s="105">
        <f>SUM(I154:I156)</f>
        <v>0</v>
      </c>
      <c r="J153" s="106" t="e">
        <f>SUM(J154:J156)</f>
        <v>#DIV/0!</v>
      </c>
      <c r="K153" s="15"/>
    </row>
    <row r="154" spans="1:11" s="7" customFormat="1" ht="30" x14ac:dyDescent="0.25">
      <c r="A154" s="86">
        <v>88</v>
      </c>
      <c r="B154" s="87" t="s">
        <v>19</v>
      </c>
      <c r="C154" s="87">
        <v>97102</v>
      </c>
      <c r="D154" s="88" t="s">
        <v>84</v>
      </c>
      <c r="E154" s="89" t="s">
        <v>13</v>
      </c>
      <c r="F154" s="70">
        <f>2.48*140</f>
        <v>347.2</v>
      </c>
      <c r="G154" s="24"/>
      <c r="H154" s="101">
        <f t="shared" ref="H154" si="48">ROUND(((G154+(G154*$I$2))),2)</f>
        <v>0</v>
      </c>
      <c r="I154" s="67">
        <f t="shared" ref="I154:I156" si="49">TRUNC((F154*H154),2)</f>
        <v>0</v>
      </c>
      <c r="J154" s="85" t="e">
        <f>(I154/$I$201)</f>
        <v>#DIV/0!</v>
      </c>
      <c r="K154" s="15"/>
    </row>
    <row r="155" spans="1:11" s="9" customFormat="1" ht="30" x14ac:dyDescent="0.25">
      <c r="A155" s="86">
        <v>89</v>
      </c>
      <c r="B155" s="87" t="s">
        <v>19</v>
      </c>
      <c r="C155" s="87">
        <v>103673</v>
      </c>
      <c r="D155" s="88" t="s">
        <v>85</v>
      </c>
      <c r="E155" s="89" t="s">
        <v>31</v>
      </c>
      <c r="F155" s="90">
        <v>52.1</v>
      </c>
      <c r="G155" s="24"/>
      <c r="H155" s="101">
        <f t="shared" ref="H155:H167" si="50">ROUND(((G155+(G155*$I$2))),2)</f>
        <v>0</v>
      </c>
      <c r="I155" s="67">
        <f t="shared" si="49"/>
        <v>0</v>
      </c>
      <c r="J155" s="85" t="e">
        <f>(I155/$I$201)</f>
        <v>#DIV/0!</v>
      </c>
      <c r="K155" s="15"/>
    </row>
    <row r="156" spans="1:11" s="9" customFormat="1" ht="30" x14ac:dyDescent="0.25">
      <c r="A156" s="86">
        <v>90</v>
      </c>
      <c r="B156" s="87" t="s">
        <v>19</v>
      </c>
      <c r="C156" s="87">
        <v>97914</v>
      </c>
      <c r="D156" s="88" t="s">
        <v>42</v>
      </c>
      <c r="E156" s="89" t="s">
        <v>33</v>
      </c>
      <c r="F156" s="90">
        <f>F155*15.1</f>
        <v>786.71</v>
      </c>
      <c r="G156" s="24"/>
      <c r="H156" s="101">
        <f t="shared" si="50"/>
        <v>0</v>
      </c>
      <c r="I156" s="67">
        <f t="shared" si="49"/>
        <v>0</v>
      </c>
      <c r="J156" s="85" t="e">
        <f>(I156/$I$201)</f>
        <v>#DIV/0!</v>
      </c>
      <c r="K156" s="15"/>
    </row>
    <row r="157" spans="1:11" s="9" customFormat="1" x14ac:dyDescent="0.25">
      <c r="A157" s="102" t="s">
        <v>147</v>
      </c>
      <c r="B157" s="103"/>
      <c r="C157" s="103"/>
      <c r="D157" s="103" t="s">
        <v>86</v>
      </c>
      <c r="E157" s="103"/>
      <c r="F157" s="104"/>
      <c r="G157" s="103"/>
      <c r="H157" s="103"/>
      <c r="I157" s="105">
        <f>I158</f>
        <v>0</v>
      </c>
      <c r="J157" s="106" t="e">
        <f>J158</f>
        <v>#DIV/0!</v>
      </c>
      <c r="K157" s="15"/>
    </row>
    <row r="158" spans="1:11" s="9" customFormat="1" ht="60" x14ac:dyDescent="0.25">
      <c r="A158" s="86">
        <v>91</v>
      </c>
      <c r="B158" s="87" t="s">
        <v>19</v>
      </c>
      <c r="C158" s="87">
        <v>104492</v>
      </c>
      <c r="D158" s="88" t="s">
        <v>87</v>
      </c>
      <c r="E158" s="89" t="s">
        <v>15</v>
      </c>
      <c r="F158" s="70">
        <v>140</v>
      </c>
      <c r="G158" s="24"/>
      <c r="H158" s="101">
        <f t="shared" si="50"/>
        <v>0</v>
      </c>
      <c r="I158" s="67">
        <f>TRUNC((F158*H158),2)</f>
        <v>0</v>
      </c>
      <c r="J158" s="85" t="e">
        <f t="shared" ref="J158:J167" si="51">(I158/$I$201)</f>
        <v>#DIV/0!</v>
      </c>
      <c r="K158" s="15"/>
    </row>
    <row r="159" spans="1:11" s="7" customFormat="1" x14ac:dyDescent="0.25">
      <c r="A159" s="102" t="s">
        <v>169</v>
      </c>
      <c r="B159" s="103"/>
      <c r="C159" s="103"/>
      <c r="D159" s="103" t="s">
        <v>88</v>
      </c>
      <c r="E159" s="103"/>
      <c r="F159" s="104"/>
      <c r="G159" s="103"/>
      <c r="H159" s="103"/>
      <c r="I159" s="105">
        <f>SUM(I160:I163)</f>
        <v>0</v>
      </c>
      <c r="J159" s="106" t="e">
        <f t="shared" si="51"/>
        <v>#DIV/0!</v>
      </c>
      <c r="K159" s="15"/>
    </row>
    <row r="160" spans="1:11" s="9" customFormat="1" ht="45" x14ac:dyDescent="0.25">
      <c r="A160" s="86">
        <v>92</v>
      </c>
      <c r="B160" s="87" t="s">
        <v>19</v>
      </c>
      <c r="C160" s="87">
        <v>92413</v>
      </c>
      <c r="D160" s="88" t="s">
        <v>43</v>
      </c>
      <c r="E160" s="89" t="s">
        <v>13</v>
      </c>
      <c r="F160" s="90">
        <v>246.9</v>
      </c>
      <c r="G160" s="24"/>
      <c r="H160" s="101">
        <f t="shared" si="50"/>
        <v>0</v>
      </c>
      <c r="I160" s="67">
        <f t="shared" ref="I160:I163" si="52">TRUNC((F160*H160),2)</f>
        <v>0</v>
      </c>
      <c r="J160" s="85" t="e">
        <f t="shared" si="51"/>
        <v>#DIV/0!</v>
      </c>
      <c r="K160" s="15"/>
    </row>
    <row r="161" spans="1:11" s="9" customFormat="1" ht="30" x14ac:dyDescent="0.25">
      <c r="A161" s="86">
        <v>93</v>
      </c>
      <c r="B161" s="87" t="s">
        <v>19</v>
      </c>
      <c r="C161" s="87">
        <v>97092</v>
      </c>
      <c r="D161" s="88" t="s">
        <v>40</v>
      </c>
      <c r="E161" s="89" t="s">
        <v>41</v>
      </c>
      <c r="F161" s="90">
        <v>329.2</v>
      </c>
      <c r="G161" s="24"/>
      <c r="H161" s="101">
        <f t="shared" si="50"/>
        <v>0</v>
      </c>
      <c r="I161" s="67">
        <f t="shared" si="52"/>
        <v>0</v>
      </c>
      <c r="J161" s="85" t="e">
        <f t="shared" si="51"/>
        <v>#DIV/0!</v>
      </c>
      <c r="K161" s="15"/>
    </row>
    <row r="162" spans="1:11" s="9" customFormat="1" ht="30" x14ac:dyDescent="0.25">
      <c r="A162" s="86">
        <v>94</v>
      </c>
      <c r="B162" s="87" t="s">
        <v>19</v>
      </c>
      <c r="C162" s="87">
        <v>103672</v>
      </c>
      <c r="D162" s="88" t="s">
        <v>44</v>
      </c>
      <c r="E162" s="89" t="s">
        <v>31</v>
      </c>
      <c r="F162" s="90">
        <v>10.6</v>
      </c>
      <c r="G162" s="24"/>
      <c r="H162" s="101">
        <f t="shared" si="50"/>
        <v>0</v>
      </c>
      <c r="I162" s="67">
        <f t="shared" si="52"/>
        <v>0</v>
      </c>
      <c r="J162" s="85" t="e">
        <f t="shared" si="51"/>
        <v>#DIV/0!</v>
      </c>
      <c r="K162" s="15"/>
    </row>
    <row r="163" spans="1:11" s="6" customFormat="1" ht="30" x14ac:dyDescent="0.25">
      <c r="A163" s="86">
        <v>95</v>
      </c>
      <c r="B163" s="87" t="s">
        <v>19</v>
      </c>
      <c r="C163" s="87">
        <v>97914</v>
      </c>
      <c r="D163" s="88" t="s">
        <v>42</v>
      </c>
      <c r="E163" s="89" t="s">
        <v>33</v>
      </c>
      <c r="F163" s="90">
        <v>160.1</v>
      </c>
      <c r="G163" s="24"/>
      <c r="H163" s="101">
        <f t="shared" si="50"/>
        <v>0</v>
      </c>
      <c r="I163" s="67">
        <f t="shared" si="52"/>
        <v>0</v>
      </c>
      <c r="J163" s="85" t="e">
        <f t="shared" si="51"/>
        <v>#DIV/0!</v>
      </c>
      <c r="K163" s="15"/>
    </row>
    <row r="164" spans="1:11" s="9" customFormat="1" x14ac:dyDescent="0.25">
      <c r="A164" s="102" t="s">
        <v>148</v>
      </c>
      <c r="B164" s="103"/>
      <c r="C164" s="103"/>
      <c r="D164" s="103" t="s">
        <v>89</v>
      </c>
      <c r="E164" s="103"/>
      <c r="F164" s="104"/>
      <c r="G164" s="103"/>
      <c r="H164" s="103"/>
      <c r="I164" s="105">
        <f>SUM(I165:I167)</f>
        <v>0</v>
      </c>
      <c r="J164" s="106" t="e">
        <f t="shared" si="51"/>
        <v>#DIV/0!</v>
      </c>
      <c r="K164" s="15"/>
    </row>
    <row r="165" spans="1:11" s="7" customFormat="1" ht="30" x14ac:dyDescent="0.25">
      <c r="A165" s="86">
        <v>96</v>
      </c>
      <c r="B165" s="87" t="s">
        <v>19</v>
      </c>
      <c r="C165" s="87">
        <v>97102</v>
      </c>
      <c r="D165" s="88" t="s">
        <v>84</v>
      </c>
      <c r="E165" s="89" t="s">
        <v>13</v>
      </c>
      <c r="F165" s="90">
        <f>2.28*140</f>
        <v>319.2</v>
      </c>
      <c r="G165" s="24"/>
      <c r="H165" s="101">
        <f t="shared" si="50"/>
        <v>0</v>
      </c>
      <c r="I165" s="67">
        <f t="shared" ref="I165:I167" si="53">TRUNC((F165*H165),2)</f>
        <v>0</v>
      </c>
      <c r="J165" s="85" t="e">
        <f t="shared" si="51"/>
        <v>#DIV/0!</v>
      </c>
      <c r="K165" s="15"/>
    </row>
    <row r="166" spans="1:11" s="9" customFormat="1" ht="30" x14ac:dyDescent="0.25">
      <c r="A166" s="86">
        <v>97</v>
      </c>
      <c r="B166" s="87" t="s">
        <v>19</v>
      </c>
      <c r="C166" s="87">
        <v>103673</v>
      </c>
      <c r="D166" s="88" t="s">
        <v>85</v>
      </c>
      <c r="E166" s="89" t="s">
        <v>31</v>
      </c>
      <c r="F166" s="90">
        <f>F165*0.15</f>
        <v>47.879999999999995</v>
      </c>
      <c r="G166" s="24"/>
      <c r="H166" s="101">
        <f t="shared" si="50"/>
        <v>0</v>
      </c>
      <c r="I166" s="67">
        <f t="shared" si="53"/>
        <v>0</v>
      </c>
      <c r="J166" s="85" t="e">
        <f t="shared" si="51"/>
        <v>#DIV/0!</v>
      </c>
      <c r="K166" s="15"/>
    </row>
    <row r="167" spans="1:11" s="9" customFormat="1" ht="30" x14ac:dyDescent="0.25">
      <c r="A167" s="86">
        <v>98</v>
      </c>
      <c r="B167" s="87" t="s">
        <v>19</v>
      </c>
      <c r="C167" s="87">
        <v>97914</v>
      </c>
      <c r="D167" s="88" t="s">
        <v>42</v>
      </c>
      <c r="E167" s="89" t="s">
        <v>33</v>
      </c>
      <c r="F167" s="90">
        <v>722</v>
      </c>
      <c r="G167" s="24"/>
      <c r="H167" s="101">
        <f t="shared" si="50"/>
        <v>0</v>
      </c>
      <c r="I167" s="67">
        <f t="shared" si="53"/>
        <v>0</v>
      </c>
      <c r="J167" s="85" t="e">
        <f t="shared" si="51"/>
        <v>#DIV/0!</v>
      </c>
      <c r="K167" s="15"/>
    </row>
    <row r="168" spans="1:11" s="9" customFormat="1" x14ac:dyDescent="0.25">
      <c r="A168" s="92" t="s">
        <v>149</v>
      </c>
      <c r="B168" s="93"/>
      <c r="C168" s="93"/>
      <c r="D168" s="94" t="s">
        <v>45</v>
      </c>
      <c r="E168" s="95"/>
      <c r="F168" s="74"/>
      <c r="G168" s="96"/>
      <c r="H168" s="96"/>
      <c r="I168" s="97">
        <f>I170+I179</f>
        <v>0</v>
      </c>
      <c r="J168" s="98" t="e">
        <f>J170+J179</f>
        <v>#DIV/0!</v>
      </c>
      <c r="K168" s="15"/>
    </row>
    <row r="169" spans="1:11" s="9" customFormat="1" x14ac:dyDescent="0.25">
      <c r="A169" s="99"/>
      <c r="B169" s="82"/>
      <c r="C169" s="82"/>
      <c r="D169" s="82"/>
      <c r="E169" s="82"/>
      <c r="F169" s="81"/>
      <c r="G169" s="82"/>
      <c r="H169" s="82"/>
      <c r="I169" s="83"/>
      <c r="J169" s="100"/>
    </row>
    <row r="170" spans="1:11" s="9" customFormat="1" x14ac:dyDescent="0.25">
      <c r="A170" s="102" t="s">
        <v>150</v>
      </c>
      <c r="B170" s="103"/>
      <c r="C170" s="103"/>
      <c r="D170" s="103" t="s">
        <v>99</v>
      </c>
      <c r="E170" s="103"/>
      <c r="F170" s="104"/>
      <c r="G170" s="103"/>
      <c r="H170" s="103"/>
      <c r="I170" s="105">
        <f>SUM(I171:I178)</f>
        <v>0</v>
      </c>
      <c r="J170" s="106" t="e">
        <f>SUM(J171:J178)</f>
        <v>#DIV/0!</v>
      </c>
      <c r="K170" s="15"/>
    </row>
    <row r="171" spans="1:11" s="9" customFormat="1" x14ac:dyDescent="0.25">
      <c r="A171" s="86">
        <v>99</v>
      </c>
      <c r="B171" s="87" t="s">
        <v>63</v>
      </c>
      <c r="C171" s="87">
        <v>1106057</v>
      </c>
      <c r="D171" s="88" t="s">
        <v>90</v>
      </c>
      <c r="E171" s="89" t="s">
        <v>31</v>
      </c>
      <c r="F171" s="90">
        <v>4.1399999999999997</v>
      </c>
      <c r="G171" s="24"/>
      <c r="H171" s="66">
        <f t="shared" ref="H171:H178" si="54">ROUND(G171*(1+$I$2),2)</f>
        <v>0</v>
      </c>
      <c r="I171" s="67">
        <f t="shared" ref="I171:I178" si="55">TRUNC((F171*H171),2)</f>
        <v>0</v>
      </c>
      <c r="J171" s="85" t="e">
        <f t="shared" ref="J171:J180" si="56">(I171/$I$201)</f>
        <v>#DIV/0!</v>
      </c>
      <c r="K171" s="15"/>
    </row>
    <row r="172" spans="1:11" s="9" customFormat="1" ht="45" x14ac:dyDescent="0.25">
      <c r="A172" s="86">
        <v>100</v>
      </c>
      <c r="B172" s="87" t="s">
        <v>19</v>
      </c>
      <c r="C172" s="87">
        <v>97086</v>
      </c>
      <c r="D172" s="88" t="s">
        <v>39</v>
      </c>
      <c r="E172" s="89" t="s">
        <v>13</v>
      </c>
      <c r="F172" s="70">
        <v>115.6</v>
      </c>
      <c r="G172" s="24"/>
      <c r="H172" s="66">
        <f t="shared" si="54"/>
        <v>0</v>
      </c>
      <c r="I172" s="67">
        <f t="shared" si="55"/>
        <v>0</v>
      </c>
      <c r="J172" s="85" t="e">
        <f t="shared" si="56"/>
        <v>#DIV/0!</v>
      </c>
      <c r="K172" s="15"/>
    </row>
    <row r="173" spans="1:11" s="9" customFormat="1" ht="30" x14ac:dyDescent="0.25">
      <c r="A173" s="86">
        <v>101</v>
      </c>
      <c r="B173" s="87" t="s">
        <v>19</v>
      </c>
      <c r="C173" s="87">
        <v>97096</v>
      </c>
      <c r="D173" s="88" t="s">
        <v>91</v>
      </c>
      <c r="E173" s="89" t="s">
        <v>31</v>
      </c>
      <c r="F173" s="70">
        <v>39.1</v>
      </c>
      <c r="G173" s="24"/>
      <c r="H173" s="66">
        <f t="shared" si="54"/>
        <v>0</v>
      </c>
      <c r="I173" s="67">
        <f t="shared" si="55"/>
        <v>0</v>
      </c>
      <c r="J173" s="85" t="e">
        <f t="shared" si="56"/>
        <v>#DIV/0!</v>
      </c>
      <c r="K173" s="15"/>
    </row>
    <row r="174" spans="1:11" s="7" customFormat="1" ht="30" x14ac:dyDescent="0.25">
      <c r="A174" s="86">
        <v>102</v>
      </c>
      <c r="B174" s="87" t="s">
        <v>19</v>
      </c>
      <c r="C174" s="87">
        <v>97914</v>
      </c>
      <c r="D174" s="88" t="s">
        <v>42</v>
      </c>
      <c r="E174" s="89" t="s">
        <v>33</v>
      </c>
      <c r="F174" s="70">
        <v>1181.4000000000001</v>
      </c>
      <c r="G174" s="24"/>
      <c r="H174" s="66">
        <f t="shared" si="54"/>
        <v>0</v>
      </c>
      <c r="I174" s="67">
        <f t="shared" si="55"/>
        <v>0</v>
      </c>
      <c r="J174" s="85" t="e">
        <f t="shared" si="56"/>
        <v>#DIV/0!</v>
      </c>
      <c r="K174" s="15"/>
    </row>
    <row r="175" spans="1:11" s="9" customFormat="1" ht="30" x14ac:dyDescent="0.25">
      <c r="A175" s="86">
        <v>103</v>
      </c>
      <c r="B175" s="87" t="s">
        <v>19</v>
      </c>
      <c r="C175" s="87">
        <v>102728</v>
      </c>
      <c r="D175" s="88" t="s">
        <v>94</v>
      </c>
      <c r="E175" s="89" t="s">
        <v>41</v>
      </c>
      <c r="F175" s="70">
        <v>109.5</v>
      </c>
      <c r="G175" s="24"/>
      <c r="H175" s="66">
        <f t="shared" si="54"/>
        <v>0</v>
      </c>
      <c r="I175" s="67">
        <f t="shared" si="55"/>
        <v>0</v>
      </c>
      <c r="J175" s="85" t="e">
        <f t="shared" si="56"/>
        <v>#DIV/0!</v>
      </c>
      <c r="K175" s="15"/>
    </row>
    <row r="176" spans="1:11" s="6" customFormat="1" ht="30" x14ac:dyDescent="0.25">
      <c r="A176" s="86">
        <v>104</v>
      </c>
      <c r="B176" s="87" t="s">
        <v>19</v>
      </c>
      <c r="C176" s="87">
        <v>102729</v>
      </c>
      <c r="D176" s="88" t="s">
        <v>96</v>
      </c>
      <c r="E176" s="89" t="s">
        <v>41</v>
      </c>
      <c r="F176" s="70">
        <v>1151.2</v>
      </c>
      <c r="G176" s="24"/>
      <c r="H176" s="66">
        <f t="shared" si="54"/>
        <v>0</v>
      </c>
      <c r="I176" s="67">
        <f t="shared" si="55"/>
        <v>0</v>
      </c>
      <c r="J176" s="85" t="e">
        <f t="shared" si="56"/>
        <v>#DIV/0!</v>
      </c>
      <c r="K176" s="15"/>
    </row>
    <row r="177" spans="1:11" s="9" customFormat="1" ht="30" x14ac:dyDescent="0.25">
      <c r="A177" s="86">
        <v>105</v>
      </c>
      <c r="B177" s="87" t="s">
        <v>19</v>
      </c>
      <c r="C177" s="87">
        <v>102730</v>
      </c>
      <c r="D177" s="88" t="s">
        <v>92</v>
      </c>
      <c r="E177" s="89" t="s">
        <v>41</v>
      </c>
      <c r="F177" s="90">
        <v>574.79999999999995</v>
      </c>
      <c r="G177" s="24"/>
      <c r="H177" s="66">
        <f t="shared" si="54"/>
        <v>0</v>
      </c>
      <c r="I177" s="67">
        <f t="shared" si="55"/>
        <v>0</v>
      </c>
      <c r="J177" s="85" t="e">
        <f t="shared" si="56"/>
        <v>#DIV/0!</v>
      </c>
      <c r="K177" s="15"/>
    </row>
    <row r="178" spans="1:11" s="9" customFormat="1" ht="30" x14ac:dyDescent="0.25">
      <c r="A178" s="86">
        <v>106</v>
      </c>
      <c r="B178" s="87" t="s">
        <v>19</v>
      </c>
      <c r="C178" s="87">
        <v>102731</v>
      </c>
      <c r="D178" s="88" t="s">
        <v>93</v>
      </c>
      <c r="E178" s="89" t="s">
        <v>41</v>
      </c>
      <c r="F178" s="90">
        <v>424.8</v>
      </c>
      <c r="G178" s="24"/>
      <c r="H178" s="66">
        <f t="shared" si="54"/>
        <v>0</v>
      </c>
      <c r="I178" s="67">
        <f t="shared" si="55"/>
        <v>0</v>
      </c>
      <c r="J178" s="85" t="e">
        <f t="shared" si="56"/>
        <v>#DIV/0!</v>
      </c>
      <c r="K178" s="15"/>
    </row>
    <row r="179" spans="1:11" s="9" customFormat="1" x14ac:dyDescent="0.25">
      <c r="A179" s="102" t="s">
        <v>151</v>
      </c>
      <c r="B179" s="103"/>
      <c r="C179" s="103"/>
      <c r="D179" s="103" t="s">
        <v>97</v>
      </c>
      <c r="E179" s="103"/>
      <c r="F179" s="104"/>
      <c r="G179" s="103"/>
      <c r="H179" s="103"/>
      <c r="I179" s="105">
        <f>I180</f>
        <v>0</v>
      </c>
      <c r="J179" s="106" t="e">
        <f t="shared" si="56"/>
        <v>#DIV/0!</v>
      </c>
      <c r="K179" s="15"/>
    </row>
    <row r="180" spans="1:11" s="9" customFormat="1" ht="45" x14ac:dyDescent="0.25">
      <c r="A180" s="86">
        <v>107</v>
      </c>
      <c r="B180" s="87" t="s">
        <v>10</v>
      </c>
      <c r="C180" s="87" t="s">
        <v>118</v>
      </c>
      <c r="D180" s="88" t="s">
        <v>46</v>
      </c>
      <c r="E180" s="89" t="s">
        <v>11</v>
      </c>
      <c r="F180" s="70">
        <v>2</v>
      </c>
      <c r="G180" s="24"/>
      <c r="H180" s="101">
        <f t="shared" ref="H180" si="57">ROUND(((G180+(G180*$I$2))),2)</f>
        <v>0</v>
      </c>
      <c r="I180" s="67">
        <f>TRUNC((F180*H180),2)</f>
        <v>0</v>
      </c>
      <c r="J180" s="85" t="e">
        <f t="shared" si="56"/>
        <v>#DIV/0!</v>
      </c>
      <c r="K180" s="15"/>
    </row>
    <row r="181" spans="1:11" s="9" customFormat="1" x14ac:dyDescent="0.25">
      <c r="A181" s="92" t="s">
        <v>152</v>
      </c>
      <c r="B181" s="93"/>
      <c r="C181" s="93"/>
      <c r="D181" s="94" t="s">
        <v>47</v>
      </c>
      <c r="E181" s="95"/>
      <c r="F181" s="74"/>
      <c r="G181" s="96"/>
      <c r="H181" s="96"/>
      <c r="I181" s="97">
        <f>SUM(I183:I191)</f>
        <v>0</v>
      </c>
      <c r="J181" s="98" t="e">
        <f>SUM(J183:J191)</f>
        <v>#DIV/0!</v>
      </c>
      <c r="K181" s="15"/>
    </row>
    <row r="182" spans="1:11" s="9" customFormat="1" x14ac:dyDescent="0.25">
      <c r="A182" s="99"/>
      <c r="B182" s="82"/>
      <c r="C182" s="82"/>
      <c r="D182" s="82"/>
      <c r="E182" s="82"/>
      <c r="F182" s="81"/>
      <c r="G182" s="82"/>
      <c r="H182" s="82"/>
      <c r="I182" s="83"/>
      <c r="J182" s="100"/>
      <c r="K182" s="15"/>
    </row>
    <row r="183" spans="1:11" s="9" customFormat="1" ht="42" customHeight="1" x14ac:dyDescent="0.25">
      <c r="A183" s="86">
        <v>108</v>
      </c>
      <c r="B183" s="87" t="s">
        <v>19</v>
      </c>
      <c r="C183" s="87">
        <v>100576</v>
      </c>
      <c r="D183" s="88" t="s">
        <v>48</v>
      </c>
      <c r="E183" s="89" t="s">
        <v>13</v>
      </c>
      <c r="F183" s="90">
        <f>4.88*130</f>
        <v>634.4</v>
      </c>
      <c r="G183" s="24"/>
      <c r="H183" s="30">
        <f t="shared" ref="H183:H191" si="58">ROUND(((G183+(G183*$I$2))),2)</f>
        <v>0</v>
      </c>
      <c r="I183" s="32">
        <f t="shared" ref="I183:I191" si="59">TRUNC((F183*H183),2)</f>
        <v>0</v>
      </c>
      <c r="J183" s="85" t="e">
        <f t="shared" ref="J183:J191" si="60">(I183/$I$201)</f>
        <v>#DIV/0!</v>
      </c>
      <c r="K183" s="15"/>
    </row>
    <row r="184" spans="1:11" s="9" customFormat="1" ht="45" x14ac:dyDescent="0.25">
      <c r="A184" s="86">
        <v>109</v>
      </c>
      <c r="B184" s="87" t="s">
        <v>19</v>
      </c>
      <c r="C184" s="87">
        <v>96396</v>
      </c>
      <c r="D184" s="88" t="s">
        <v>49</v>
      </c>
      <c r="E184" s="89" t="s">
        <v>31</v>
      </c>
      <c r="F184" s="29">
        <f>F183*0.15</f>
        <v>95.16</v>
      </c>
      <c r="G184" s="24"/>
      <c r="H184" s="30">
        <f t="shared" si="58"/>
        <v>0</v>
      </c>
      <c r="I184" s="32">
        <f t="shared" si="59"/>
        <v>0</v>
      </c>
      <c r="J184" s="85" t="e">
        <f t="shared" si="60"/>
        <v>#DIV/0!</v>
      </c>
      <c r="K184" s="15"/>
    </row>
    <row r="185" spans="1:11" s="9" customFormat="1" ht="60" x14ac:dyDescent="0.25">
      <c r="A185" s="86">
        <v>110</v>
      </c>
      <c r="B185" s="87" t="s">
        <v>19</v>
      </c>
      <c r="C185" s="87">
        <v>100979</v>
      </c>
      <c r="D185" s="88" t="s">
        <v>76</v>
      </c>
      <c r="E185" s="89" t="s">
        <v>31</v>
      </c>
      <c r="F185" s="29">
        <f>ROUND((F184*1.35),2)</f>
        <v>128.47</v>
      </c>
      <c r="G185" s="24"/>
      <c r="H185" s="30">
        <f t="shared" si="58"/>
        <v>0</v>
      </c>
      <c r="I185" s="32">
        <f t="shared" si="59"/>
        <v>0</v>
      </c>
      <c r="J185" s="85" t="e">
        <f t="shared" si="60"/>
        <v>#DIV/0!</v>
      </c>
      <c r="K185" s="15"/>
    </row>
    <row r="186" spans="1:11" s="9" customFormat="1" ht="30" x14ac:dyDescent="0.25">
      <c r="A186" s="86">
        <v>111</v>
      </c>
      <c r="B186" s="87" t="s">
        <v>19</v>
      </c>
      <c r="C186" s="87">
        <v>95876</v>
      </c>
      <c r="D186" s="88" t="s">
        <v>32</v>
      </c>
      <c r="E186" s="89" t="s">
        <v>33</v>
      </c>
      <c r="F186" s="29">
        <f>ROUND((F185*23.1),2)</f>
        <v>2967.66</v>
      </c>
      <c r="G186" s="24"/>
      <c r="H186" s="30">
        <f t="shared" si="58"/>
        <v>0</v>
      </c>
      <c r="I186" s="32">
        <f t="shared" si="59"/>
        <v>0</v>
      </c>
      <c r="J186" s="85" t="e">
        <f t="shared" si="60"/>
        <v>#DIV/0!</v>
      </c>
      <c r="K186" s="15"/>
    </row>
    <row r="187" spans="1:11" s="1" customFormat="1" ht="60" x14ac:dyDescent="0.25">
      <c r="A187" s="86">
        <v>112</v>
      </c>
      <c r="B187" s="87" t="s">
        <v>19</v>
      </c>
      <c r="C187" s="87">
        <v>94273</v>
      </c>
      <c r="D187" s="88" t="s">
        <v>50</v>
      </c>
      <c r="E187" s="89" t="s">
        <v>15</v>
      </c>
      <c r="F187" s="91">
        <v>150</v>
      </c>
      <c r="G187" s="24"/>
      <c r="H187" s="30">
        <f t="shared" si="58"/>
        <v>0</v>
      </c>
      <c r="I187" s="32">
        <f t="shared" si="59"/>
        <v>0</v>
      </c>
      <c r="J187" s="85" t="e">
        <f t="shared" si="60"/>
        <v>#DIV/0!</v>
      </c>
      <c r="K187" s="15"/>
    </row>
    <row r="188" spans="1:11" s="13" customFormat="1" x14ac:dyDescent="0.25">
      <c r="A188" s="86">
        <v>113</v>
      </c>
      <c r="B188" s="87" t="s">
        <v>10</v>
      </c>
      <c r="C188" s="87" t="s">
        <v>119</v>
      </c>
      <c r="D188" s="88" t="s">
        <v>67</v>
      </c>
      <c r="E188" s="89" t="s">
        <v>13</v>
      </c>
      <c r="F188" s="29">
        <f>F183</f>
        <v>634.4</v>
      </c>
      <c r="G188" s="24"/>
      <c r="H188" s="30">
        <f t="shared" si="58"/>
        <v>0</v>
      </c>
      <c r="I188" s="32">
        <f t="shared" si="59"/>
        <v>0</v>
      </c>
      <c r="J188" s="85" t="e">
        <f t="shared" si="60"/>
        <v>#DIV/0!</v>
      </c>
      <c r="K188" s="15"/>
    </row>
    <row r="189" spans="1:11" s="13" customFormat="1" x14ac:dyDescent="0.25">
      <c r="A189" s="86">
        <v>114</v>
      </c>
      <c r="B189" s="87" t="s">
        <v>10</v>
      </c>
      <c r="C189" s="87" t="s">
        <v>120</v>
      </c>
      <c r="D189" s="88" t="s">
        <v>51</v>
      </c>
      <c r="E189" s="89" t="s">
        <v>13</v>
      </c>
      <c r="F189" s="29">
        <f>F188</f>
        <v>634.4</v>
      </c>
      <c r="G189" s="24"/>
      <c r="H189" s="30">
        <f t="shared" si="58"/>
        <v>0</v>
      </c>
      <c r="I189" s="32">
        <f t="shared" si="59"/>
        <v>0</v>
      </c>
      <c r="J189" s="85" t="e">
        <f t="shared" si="60"/>
        <v>#DIV/0!</v>
      </c>
      <c r="K189" s="15"/>
    </row>
    <row r="190" spans="1:11" s="13" customFormat="1" ht="30" x14ac:dyDescent="0.25">
      <c r="A190" s="86">
        <v>115</v>
      </c>
      <c r="B190" s="87" t="s">
        <v>10</v>
      </c>
      <c r="C190" s="87" t="s">
        <v>52</v>
      </c>
      <c r="D190" s="88" t="s">
        <v>53</v>
      </c>
      <c r="E190" s="89" t="s">
        <v>31</v>
      </c>
      <c r="F190" s="29">
        <f>F183*0.05</f>
        <v>31.72</v>
      </c>
      <c r="G190" s="24"/>
      <c r="H190" s="30">
        <f t="shared" si="58"/>
        <v>0</v>
      </c>
      <c r="I190" s="32">
        <f t="shared" si="59"/>
        <v>0</v>
      </c>
      <c r="J190" s="85" t="e">
        <f t="shared" si="60"/>
        <v>#DIV/0!</v>
      </c>
      <c r="K190" s="15"/>
    </row>
    <row r="191" spans="1:11" s="13" customFormat="1" ht="30" x14ac:dyDescent="0.25">
      <c r="A191" s="86">
        <v>116</v>
      </c>
      <c r="B191" s="87" t="s">
        <v>19</v>
      </c>
      <c r="C191" s="87">
        <v>95876</v>
      </c>
      <c r="D191" s="88" t="s">
        <v>32</v>
      </c>
      <c r="E191" s="89" t="s">
        <v>33</v>
      </c>
      <c r="F191" s="29">
        <f>ROUND((F190*28.5*1.6),2)</f>
        <v>1446.43</v>
      </c>
      <c r="G191" s="24"/>
      <c r="H191" s="30">
        <f t="shared" si="58"/>
        <v>0</v>
      </c>
      <c r="I191" s="32">
        <f t="shared" si="59"/>
        <v>0</v>
      </c>
      <c r="J191" s="85" t="e">
        <f t="shared" si="60"/>
        <v>#DIV/0!</v>
      </c>
      <c r="K191" s="15"/>
    </row>
    <row r="192" spans="1:11" s="13" customFormat="1" x14ac:dyDescent="0.25">
      <c r="A192" s="71" t="s">
        <v>153</v>
      </c>
      <c r="B192" s="72"/>
      <c r="C192" s="72"/>
      <c r="D192" s="73" t="s">
        <v>59</v>
      </c>
      <c r="E192" s="72"/>
      <c r="F192" s="74"/>
      <c r="G192" s="75"/>
      <c r="H192" s="76"/>
      <c r="I192" s="77">
        <f>SUM(I194:I198)</f>
        <v>0</v>
      </c>
      <c r="J192" s="78" t="e">
        <f>SUM(J194:J198)</f>
        <v>#DIV/0!</v>
      </c>
      <c r="K192" s="15"/>
    </row>
    <row r="193" spans="1:11" s="13" customFormat="1" ht="15" customHeight="1" x14ac:dyDescent="0.25">
      <c r="A193" s="79"/>
      <c r="B193" s="80"/>
      <c r="C193" s="80"/>
      <c r="D193" s="80"/>
      <c r="E193" s="80"/>
      <c r="F193" s="81"/>
      <c r="G193" s="82"/>
      <c r="H193" s="80"/>
      <c r="I193" s="83"/>
      <c r="J193" s="84"/>
      <c r="K193" s="15"/>
    </row>
    <row r="194" spans="1:11" s="13" customFormat="1" ht="15" customHeight="1" x14ac:dyDescent="0.25">
      <c r="A194" s="25">
        <v>117</v>
      </c>
      <c r="B194" s="28" t="s">
        <v>19</v>
      </c>
      <c r="C194" s="28">
        <v>13244</v>
      </c>
      <c r="D194" s="69" t="s">
        <v>65</v>
      </c>
      <c r="E194" s="28" t="s">
        <v>11</v>
      </c>
      <c r="F194" s="70">
        <v>10</v>
      </c>
      <c r="G194" s="24"/>
      <c r="H194" s="66">
        <f t="shared" ref="H194:H198" si="61">ROUND(((G194+(G194*$I$2))),2)</f>
        <v>0</v>
      </c>
      <c r="I194" s="67">
        <f t="shared" ref="I194:I198" si="62">TRUNC((F194*H194),2)</f>
        <v>0</v>
      </c>
      <c r="J194" s="68" t="e">
        <f>I194/$I$201</f>
        <v>#DIV/0!</v>
      </c>
      <c r="K194" s="15"/>
    </row>
    <row r="195" spans="1:11" s="13" customFormat="1" x14ac:dyDescent="0.25">
      <c r="A195" s="25">
        <v>118</v>
      </c>
      <c r="B195" s="28" t="s">
        <v>60</v>
      </c>
      <c r="C195" s="28" t="s">
        <v>61</v>
      </c>
      <c r="D195" s="27" t="s">
        <v>62</v>
      </c>
      <c r="E195" s="28" t="s">
        <v>11</v>
      </c>
      <c r="F195" s="70">
        <v>10</v>
      </c>
      <c r="G195" s="24"/>
      <c r="H195" s="66">
        <f t="shared" si="61"/>
        <v>0</v>
      </c>
      <c r="I195" s="67">
        <f t="shared" si="62"/>
        <v>0</v>
      </c>
      <c r="J195" s="68" t="e">
        <f>I195/$I$201</f>
        <v>#DIV/0!</v>
      </c>
      <c r="K195" s="15"/>
    </row>
    <row r="196" spans="1:11" s="13" customFormat="1" ht="30" x14ac:dyDescent="0.25">
      <c r="A196" s="25">
        <v>119</v>
      </c>
      <c r="B196" s="28" t="s">
        <v>63</v>
      </c>
      <c r="C196" s="28">
        <v>5213842</v>
      </c>
      <c r="D196" s="27" t="s">
        <v>69</v>
      </c>
      <c r="E196" s="28" t="s">
        <v>15</v>
      </c>
      <c r="F196" s="70">
        <v>600</v>
      </c>
      <c r="G196" s="24"/>
      <c r="H196" s="66">
        <f t="shared" si="61"/>
        <v>0</v>
      </c>
      <c r="I196" s="67">
        <f t="shared" si="62"/>
        <v>0</v>
      </c>
      <c r="J196" s="68" t="e">
        <f>I196/$I$201</f>
        <v>#DIV/0!</v>
      </c>
      <c r="K196" s="15"/>
    </row>
    <row r="197" spans="1:11" s="13" customFormat="1" ht="30" x14ac:dyDescent="0.25">
      <c r="A197" s="25">
        <v>120</v>
      </c>
      <c r="B197" s="28" t="s">
        <v>10</v>
      </c>
      <c r="C197" s="26" t="s">
        <v>121</v>
      </c>
      <c r="D197" s="27" t="s">
        <v>64</v>
      </c>
      <c r="E197" s="28" t="s">
        <v>15</v>
      </c>
      <c r="F197" s="70">
        <v>400</v>
      </c>
      <c r="G197" s="24"/>
      <c r="H197" s="66">
        <f t="shared" si="61"/>
        <v>0</v>
      </c>
      <c r="I197" s="67">
        <f t="shared" si="62"/>
        <v>0</v>
      </c>
      <c r="J197" s="68" t="e">
        <f>I197/$I$201</f>
        <v>#DIV/0!</v>
      </c>
      <c r="K197" s="15"/>
    </row>
    <row r="198" spans="1:11" s="13" customFormat="1" ht="45" x14ac:dyDescent="0.25">
      <c r="A198" s="25">
        <v>121</v>
      </c>
      <c r="B198" s="28" t="s">
        <v>63</v>
      </c>
      <c r="C198" s="28">
        <v>5212560</v>
      </c>
      <c r="D198" s="27" t="s">
        <v>70</v>
      </c>
      <c r="E198" s="28" t="s">
        <v>11</v>
      </c>
      <c r="F198" s="70">
        <v>4</v>
      </c>
      <c r="G198" s="24"/>
      <c r="H198" s="66">
        <f t="shared" si="61"/>
        <v>0</v>
      </c>
      <c r="I198" s="67">
        <f t="shared" si="62"/>
        <v>0</v>
      </c>
      <c r="J198" s="68" t="e">
        <f>I198/$I$201</f>
        <v>#DIV/0!</v>
      </c>
      <c r="K198" s="15"/>
    </row>
    <row r="199" spans="1:11" x14ac:dyDescent="0.25">
      <c r="A199" s="25"/>
      <c r="B199" s="26"/>
      <c r="C199" s="26"/>
      <c r="D199" s="27"/>
      <c r="E199" s="28"/>
      <c r="F199" s="29"/>
      <c r="G199" s="30"/>
      <c r="H199" s="31"/>
      <c r="I199" s="32"/>
      <c r="J199" s="33"/>
      <c r="K199" s="15"/>
    </row>
    <row r="200" spans="1:11" x14ac:dyDescent="0.25">
      <c r="A200" s="34"/>
      <c r="B200" s="35"/>
      <c r="C200" s="35"/>
      <c r="D200" s="36"/>
      <c r="E200" s="37"/>
      <c r="F200" s="38"/>
      <c r="G200" s="39"/>
      <c r="H200" s="40"/>
      <c r="I200" s="41"/>
      <c r="J200" s="42"/>
      <c r="K200" s="15"/>
    </row>
    <row r="201" spans="1:11" ht="28.5" customHeight="1" thickBot="1" x14ac:dyDescent="0.3">
      <c r="A201" s="43"/>
      <c r="B201" s="44"/>
      <c r="C201" s="44"/>
      <c r="D201" s="44"/>
      <c r="E201" s="44"/>
      <c r="F201" s="45"/>
      <c r="G201" s="46"/>
      <c r="H201" s="47" t="s">
        <v>66</v>
      </c>
      <c r="I201" s="48">
        <f>I9+I16+I107</f>
        <v>0</v>
      </c>
      <c r="J201" s="49" t="e">
        <f>ROUND(J107+J16+J9,2)</f>
        <v>#DIV/0!</v>
      </c>
      <c r="K201" s="15"/>
    </row>
    <row r="202" spans="1:11" x14ac:dyDescent="0.25">
      <c r="D202" s="52"/>
      <c r="F202" s="53"/>
      <c r="G202" s="54"/>
      <c r="H202" s="55"/>
      <c r="I202" s="54"/>
    </row>
    <row r="203" spans="1:11" x14ac:dyDescent="0.25">
      <c r="D203" s="52"/>
      <c r="F203" s="53"/>
      <c r="G203" s="56"/>
      <c r="H203" s="57"/>
      <c r="I203" s="58"/>
      <c r="J203" s="59"/>
    </row>
    <row r="204" spans="1:11" x14ac:dyDescent="0.25">
      <c r="D204" s="52"/>
      <c r="F204" s="53"/>
      <c r="G204" s="58"/>
      <c r="H204" s="60"/>
      <c r="I204" s="61"/>
    </row>
    <row r="205" spans="1:11" x14ac:dyDescent="0.25">
      <c r="D205" s="52"/>
      <c r="F205" s="53"/>
      <c r="G205" s="54"/>
      <c r="H205" s="55"/>
      <c r="I205" s="54"/>
    </row>
    <row r="206" spans="1:11" x14ac:dyDescent="0.25">
      <c r="D206" s="52"/>
      <c r="F206" s="53"/>
      <c r="G206" s="54"/>
      <c r="H206" s="55"/>
      <c r="I206" s="54"/>
    </row>
    <row r="207" spans="1:11" x14ac:dyDescent="0.25">
      <c r="D207" s="52"/>
      <c r="F207" s="53"/>
      <c r="G207" s="54"/>
      <c r="H207" s="55"/>
      <c r="I207" s="54"/>
    </row>
  </sheetData>
  <sheetProtection algorithmName="SHA-512" hashValue="OkKAYPCuiYW9TMdiYZ6aUl+ditDiL9ttk2hemHqBI+IGYxuQsLuEltCIgDVl81ZtcmrZQrArA9NKNRT5GAb8YA==" saltValue="9O/uenaF8nMNDlY2Pyeztg==" spinCount="100000" sheet="1" objects="1" scenarios="1" selectLockedCells="1"/>
  <autoFilter ref="A7:I7" xr:uid="{00000000-0009-0000-0000-000000000000}"/>
  <mergeCells count="3">
    <mergeCell ref="B2:D2"/>
    <mergeCell ref="D5:F5"/>
    <mergeCell ref="H5:I5"/>
  </mergeCells>
  <phoneticPr fontId="17" type="noConversion"/>
  <printOptions horizontalCentered="1"/>
  <pageMargins left="0.25" right="0.25" top="0.75" bottom="0.75" header="0.3" footer="0.3"/>
  <pageSetup paperSize="9" scale="63" fitToHeight="0" orientation="landscape" r:id="rId1"/>
  <rowBreaks count="3" manualBreakCount="3">
    <brk id="122" max="9" man="1"/>
    <brk id="138" max="9" man="1"/>
    <brk id="156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ORÇAMENTO</vt:lpstr>
      <vt:lpstr>ORÇAMENTO!Area_de_impressao</vt:lpstr>
      <vt:lpstr>ORÇAMENTO!Titulos_de_impressao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Sinapi em Excel</dc:title>
  <dc:subject>Sinapi em Excel</dc:subject>
  <dc:creator>i9orcamentos.com.br</dc:creator>
  <cp:keywords>Sinapi Excel</cp:keywords>
  <dc:description>Sinapi em Excel</dc:description>
  <cp:lastModifiedBy>Mirela Miorim</cp:lastModifiedBy>
  <cp:lastPrinted>2026-08-26T16:52:06Z</cp:lastPrinted>
  <dcterms:created xsi:type="dcterms:W3CDTF">2025-12-11T17:29:49Z</dcterms:created>
  <dcterms:modified xsi:type="dcterms:W3CDTF">2026-08-26T16:56:30Z</dcterms:modified>
  <cp:category>Sinapi Excel</cp:category>
</cp:coreProperties>
</file>