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Licitações e Compras\LICITAÇÕES 2026\PREGÃO\Pregão Eletrônico 15-2026 - COLETA, TRANSPORTE DESTINAÇÃO FINAL RESÍDUOS\"/>
    </mc:Choice>
  </mc:AlternateContent>
  <xr:revisionPtr revIDLastSave="0" documentId="8_{E89BEAD2-E684-4A9C-8810-A70F5CB57B52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Orçamento" sheetId="14" r:id="rId1"/>
    <sheet name="Cronograma" sheetId="16" r:id="rId2"/>
    <sheet name="1.1.Coleta Organica " sheetId="11" r:id="rId3"/>
    <sheet name="1.2. Coleta Seletiva" sheetId="15" r:id="rId4"/>
    <sheet name="1.3.Estação de transbordo" sheetId="12" r:id="rId5"/>
    <sheet name="1.4 Central de Triagem" sheetId="21" r:id="rId6"/>
    <sheet name="1.5.Destino final" sheetId="13" r:id="rId7"/>
    <sheet name="2.Encargos Sociais" sheetId="8" r:id="rId8"/>
    <sheet name="3.CAGED" sheetId="5" r:id="rId9"/>
    <sheet name="4.BDI" sheetId="4" r:id="rId10"/>
    <sheet name="5. Depreciação" sheetId="6" r:id="rId11"/>
    <sheet name="6.Remuneração de capital" sheetId="7" r:id="rId12"/>
    <sheet name="7. Dimensionamento" sheetId="9" r:id="rId13"/>
  </sheets>
  <externalReferences>
    <externalReference r:id="rId14"/>
  </externalReferences>
  <definedNames>
    <definedName name="AbaDeprec">'5. Depreciação'!$A$2</definedName>
    <definedName name="AbaRemun">'6.Remuneração de capital'!$A$2</definedName>
    <definedName name="_xlnm.Print_Area" localSheetId="2">'1.1.Coleta Organica '!$A$1:$F$245</definedName>
    <definedName name="_xlnm.Print_Area" localSheetId="3">'1.2. Coleta Seletiva'!$A$1:$F$245</definedName>
    <definedName name="_xlnm.Print_Area" localSheetId="4">'1.3.Estação de transbordo'!$A$1:$F$69</definedName>
    <definedName name="_xlnm.Print_Area" localSheetId="5">'1.4 Central de Triagem'!$A$1:$F$225</definedName>
    <definedName name="_xlnm.Print_Area" localSheetId="6">'1.5.Destino final'!$A$1:$F$221</definedName>
    <definedName name="_xlnm.Print_Area" localSheetId="7">'2.Encargos Sociais'!$A$1:$C$37</definedName>
    <definedName name="_xlnm.Print_Area" localSheetId="1">Cronograma!$A$1:$P$15</definedName>
    <definedName name="_xlnm.Print_Area" localSheetId="0">Orçamento!$A$1:$F$54</definedName>
    <definedName name="Google_Sheet_Link_1573336154" hidden="1">AbaRemun</definedName>
    <definedName name="_xlnm.Print_Titles" localSheetId="2">'1.1.Coleta Organica '!$1:$3</definedName>
    <definedName name="_xlnm.Print_Titles" localSheetId="3">'1.2. Coleta Seletiva'!$1:$3</definedName>
    <definedName name="_xlnm.Print_Titles" localSheetId="4">'1.3.Estação de transbordo'!$1:$3</definedName>
    <definedName name="_xlnm.Print_Titles" localSheetId="5">'1.4 Central de Triagem'!$1:$3</definedName>
    <definedName name="_xlnm.Print_Titles" localSheetId="6">'1.5.Destino final'!$1:$3</definedName>
    <definedName name="_xlnm.Print_Titles" localSheetId="1">Cronograma!$1:$2</definedName>
    <definedName name="_xlnm.Print_Titles" localSheetId="0">Orçamento!$1:$2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5" i="13" l="1"/>
  <c r="A47" i="14"/>
  <c r="D206" i="13"/>
  <c r="C12" i="9"/>
  <c r="D127" i="13"/>
  <c r="D132" i="13"/>
  <c r="C143" i="11"/>
  <c r="C148" i="11" l="1"/>
  <c r="C144" i="11"/>
  <c r="D172" i="11"/>
  <c r="D105" i="11"/>
  <c r="D45" i="12"/>
  <c r="A22" i="12"/>
  <c r="A13" i="12"/>
  <c r="C163" i="13"/>
  <c r="C161" i="13"/>
  <c r="C159" i="13"/>
  <c r="C157" i="13"/>
  <c r="C155" i="13"/>
  <c r="D163" i="13"/>
  <c r="D161" i="13"/>
  <c r="D159" i="13"/>
  <c r="D157" i="13"/>
  <c r="D143" i="13"/>
  <c r="E187" i="13"/>
  <c r="E186" i="13"/>
  <c r="E99" i="13"/>
  <c r="D98" i="13"/>
  <c r="E98" i="13" s="1"/>
  <c r="D97" i="13"/>
  <c r="E97" i="13" s="1"/>
  <c r="D96" i="13"/>
  <c r="E96" i="13" s="1"/>
  <c r="D95" i="13"/>
  <c r="E95" i="13" s="1"/>
  <c r="D94" i="13"/>
  <c r="E94" i="13" s="1"/>
  <c r="D93" i="13"/>
  <c r="E93" i="13" s="1"/>
  <c r="A101" i="13"/>
  <c r="E101" i="13"/>
  <c r="E84" i="13"/>
  <c r="E78" i="13"/>
  <c r="A220" i="21"/>
  <c r="E210" i="21"/>
  <c r="A210" i="21"/>
  <c r="A199" i="21"/>
  <c r="E198" i="21"/>
  <c r="E197" i="21"/>
  <c r="E196" i="21"/>
  <c r="A178" i="21"/>
  <c r="C177" i="21"/>
  <c r="D171" i="21"/>
  <c r="D169" i="21"/>
  <c r="D167" i="21"/>
  <c r="D165" i="21"/>
  <c r="D163" i="21"/>
  <c r="C163" i="21"/>
  <c r="C167" i="21" s="1"/>
  <c r="A173" i="21"/>
  <c r="E155" i="21"/>
  <c r="A155" i="21"/>
  <c r="E149" i="21"/>
  <c r="A149" i="21"/>
  <c r="D142" i="21"/>
  <c r="F199" i="21" l="1"/>
  <c r="D100" i="13"/>
  <c r="C169" i="21"/>
  <c r="C171" i="21"/>
  <c r="C165" i="21"/>
  <c r="A138" i="21" l="1"/>
  <c r="C135" i="21"/>
  <c r="C134" i="21"/>
  <c r="E131" i="21"/>
  <c r="A24" i="21"/>
  <c r="A36" i="14" s="1"/>
  <c r="A22" i="21"/>
  <c r="A34" i="14" s="1"/>
  <c r="A21" i="21"/>
  <c r="A33" i="14" s="1"/>
  <c r="A20" i="21"/>
  <c r="A32" i="14" s="1"/>
  <c r="E138" i="21"/>
  <c r="D87" i="21"/>
  <c r="D98" i="21"/>
  <c r="E98" i="21" s="1"/>
  <c r="D104" i="21"/>
  <c r="E104" i="21" s="1"/>
  <c r="D106" i="21"/>
  <c r="E106" i="21" s="1"/>
  <c r="E121" i="21"/>
  <c r="E109" i="21"/>
  <c r="C120" i="21"/>
  <c r="C206" i="21" s="1"/>
  <c r="E119" i="21"/>
  <c r="D118" i="21"/>
  <c r="E118" i="21" s="1"/>
  <c r="D117" i="21"/>
  <c r="E117" i="21" s="1"/>
  <c r="D116" i="21"/>
  <c r="E116" i="21" s="1"/>
  <c r="D115" i="21"/>
  <c r="E115" i="21" s="1"/>
  <c r="D114" i="21"/>
  <c r="E114" i="21" s="1"/>
  <c r="C108" i="21"/>
  <c r="E107" i="21"/>
  <c r="D105" i="21"/>
  <c r="E105" i="21" s="1"/>
  <c r="D103" i="21"/>
  <c r="E103" i="21" s="1"/>
  <c r="D102" i="21"/>
  <c r="E102" i="21" s="1"/>
  <c r="D101" i="21"/>
  <c r="E101" i="21" s="1"/>
  <c r="D100" i="21"/>
  <c r="E100" i="21" s="1"/>
  <c r="D99" i="21"/>
  <c r="E89" i="21"/>
  <c r="E88" i="21"/>
  <c r="C82" i="21"/>
  <c r="E82" i="21" s="1"/>
  <c r="C81" i="21"/>
  <c r="E81" i="21" s="1"/>
  <c r="C76" i="21"/>
  <c r="C75" i="21"/>
  <c r="E69" i="21"/>
  <c r="E61" i="21"/>
  <c r="D76" i="21" s="1"/>
  <c r="E57" i="21"/>
  <c r="E49" i="21"/>
  <c r="D75" i="21" s="1"/>
  <c r="C188" i="21"/>
  <c r="E186" i="21"/>
  <c r="E185" i="21"/>
  <c r="E183" i="21"/>
  <c r="E182" i="21"/>
  <c r="E177" i="21"/>
  <c r="F178" i="21" s="1"/>
  <c r="E24" i="21" s="1"/>
  <c r="E153" i="21"/>
  <c r="D154" i="21" s="1"/>
  <c r="E142" i="21"/>
  <c r="C87" i="21"/>
  <c r="A82" i="21"/>
  <c r="A88" i="21" s="1"/>
  <c r="A81" i="21"/>
  <c r="A87" i="21" s="1"/>
  <c r="E36" i="21"/>
  <c r="A35" i="21"/>
  <c r="A28" i="21"/>
  <c r="A27" i="21"/>
  <c r="A26" i="21"/>
  <c r="A25" i="21"/>
  <c r="A37" i="14" s="1"/>
  <c r="A23" i="21"/>
  <c r="A35" i="14" s="1"/>
  <c r="A19" i="21"/>
  <c r="A31" i="14" s="1"/>
  <c r="A18" i="21"/>
  <c r="A17" i="21"/>
  <c r="A16" i="21"/>
  <c r="A15" i="21"/>
  <c r="A14" i="21"/>
  <c r="A13" i="21"/>
  <c r="A15" i="14" s="1"/>
  <c r="A12" i="21"/>
  <c r="A14" i="14" s="1"/>
  <c r="A11" i="21"/>
  <c r="C208" i="21" l="1"/>
  <c r="E208" i="21" s="1"/>
  <c r="D209" i="21" s="1"/>
  <c r="E209" i="21" s="1"/>
  <c r="E206" i="21"/>
  <c r="D207" i="21" s="1"/>
  <c r="E207" i="21" s="1"/>
  <c r="F210" i="21" s="1"/>
  <c r="D134" i="21"/>
  <c r="E134" i="21" s="1"/>
  <c r="D135" i="21" s="1"/>
  <c r="E135" i="21" s="1"/>
  <c r="E136" i="21" s="1"/>
  <c r="C144" i="21"/>
  <c r="C145" i="21" s="1"/>
  <c r="D146" i="21" s="1"/>
  <c r="E36" i="14"/>
  <c r="E87" i="21"/>
  <c r="F89" i="21" s="1"/>
  <c r="F83" i="21"/>
  <c r="D120" i="21"/>
  <c r="E120" i="21" s="1"/>
  <c r="F121" i="21" s="1"/>
  <c r="E169" i="21"/>
  <c r="E99" i="21"/>
  <c r="D108" i="21" s="1"/>
  <c r="E108" i="21" s="1"/>
  <c r="F109" i="21" s="1"/>
  <c r="E154" i="21"/>
  <c r="E75" i="21"/>
  <c r="D64" i="21"/>
  <c r="E64" i="21" s="1"/>
  <c r="E65" i="21" s="1"/>
  <c r="E167" i="21"/>
  <c r="D172" i="21"/>
  <c r="F201" i="21"/>
  <c r="E26" i="21" s="1"/>
  <c r="D187" i="21"/>
  <c r="E187" i="21" s="1"/>
  <c r="D52" i="21"/>
  <c r="E52" i="21" s="1"/>
  <c r="E53" i="21" s="1"/>
  <c r="E76" i="21"/>
  <c r="F212" i="21"/>
  <c r="E27" i="21" s="1"/>
  <c r="E171" i="21"/>
  <c r="E163" i="21"/>
  <c r="E165" i="21"/>
  <c r="F173" i="21" l="1"/>
  <c r="E23" i="21" s="1"/>
  <c r="F155" i="21"/>
  <c r="E22" i="21" s="1"/>
  <c r="E34" i="14" s="1"/>
  <c r="D188" i="21"/>
  <c r="E188" i="21" s="1"/>
  <c r="F123" i="21"/>
  <c r="F77" i="21"/>
  <c r="D66" i="21"/>
  <c r="E146" i="21"/>
  <c r="E147" i="21" s="1"/>
  <c r="E15" i="21"/>
  <c r="D54" i="21"/>
  <c r="E16" i="21"/>
  <c r="F189" i="21" l="1"/>
  <c r="E25" i="21" s="1"/>
  <c r="D148" i="21"/>
  <c r="E148" i="21" s="1"/>
  <c r="F149" i="21" s="1"/>
  <c r="E35" i="14"/>
  <c r="E17" i="21"/>
  <c r="D137" i="21"/>
  <c r="E137" i="21" s="1"/>
  <c r="F138" i="21" s="1"/>
  <c r="E14" i="21"/>
  <c r="E37" i="14" l="1"/>
  <c r="E20" i="21"/>
  <c r="E32" i="14" s="1"/>
  <c r="E21" i="21"/>
  <c r="F191" i="21"/>
  <c r="E18" i="21" s="1"/>
  <c r="E33" i="14" l="1"/>
  <c r="E19" i="21"/>
  <c r="E31" i="14" l="1"/>
  <c r="D124" i="15"/>
  <c r="E124" i="15" s="1"/>
  <c r="D123" i="15"/>
  <c r="E123" i="15" s="1"/>
  <c r="D124" i="11"/>
  <c r="D123" i="11"/>
  <c r="C37" i="12"/>
  <c r="C207" i="15"/>
  <c r="D205" i="15"/>
  <c r="E205" i="15" s="1"/>
  <c r="D203" i="15"/>
  <c r="E203" i="15" s="1"/>
  <c r="D205" i="11"/>
  <c r="D203" i="11"/>
  <c r="E203" i="11" s="1"/>
  <c r="E218" i="15"/>
  <c r="E217" i="15"/>
  <c r="E216" i="15"/>
  <c r="E218" i="11"/>
  <c r="E217" i="11"/>
  <c r="E216" i="11"/>
  <c r="F219" i="11" s="1"/>
  <c r="F221" i="11" s="1"/>
  <c r="E115" i="15"/>
  <c r="D114" i="15"/>
  <c r="E114" i="15" s="1"/>
  <c r="D113" i="15"/>
  <c r="E113" i="15" s="1"/>
  <c r="D112" i="15"/>
  <c r="E112" i="15" s="1"/>
  <c r="D111" i="15"/>
  <c r="E111" i="15" s="1"/>
  <c r="D110" i="15"/>
  <c r="E110" i="15" s="1"/>
  <c r="D109" i="15"/>
  <c r="E109" i="15" s="1"/>
  <c r="D108" i="15"/>
  <c r="E108" i="15" s="1"/>
  <c r="D107" i="15"/>
  <c r="E107" i="15" s="1"/>
  <c r="D106" i="15"/>
  <c r="E106" i="15" s="1"/>
  <c r="D105" i="15"/>
  <c r="E105" i="15" s="1"/>
  <c r="D106" i="11"/>
  <c r="D107" i="11"/>
  <c r="D108" i="11"/>
  <c r="D192" i="15"/>
  <c r="D190" i="15"/>
  <c r="D188" i="15"/>
  <c r="D186" i="15"/>
  <c r="D184" i="15"/>
  <c r="C184" i="15"/>
  <c r="C190" i="15" s="1"/>
  <c r="C184" i="11"/>
  <c r="C198" i="11" s="1"/>
  <c r="D184" i="11"/>
  <c r="C174" i="11"/>
  <c r="E174" i="11" s="1"/>
  <c r="C173" i="11"/>
  <c r="E173" i="11" s="1"/>
  <c r="C172" i="11"/>
  <c r="D172" i="15"/>
  <c r="C167" i="15"/>
  <c r="C162" i="15"/>
  <c r="D161" i="15"/>
  <c r="D156" i="15"/>
  <c r="E156" i="15" s="1"/>
  <c r="D161" i="11"/>
  <c r="D156" i="11"/>
  <c r="C148" i="15"/>
  <c r="C145" i="15"/>
  <c r="C161" i="15" s="1"/>
  <c r="C144" i="15"/>
  <c r="C143" i="15"/>
  <c r="E140" i="15"/>
  <c r="C83" i="15"/>
  <c r="C82" i="15"/>
  <c r="E128" i="15"/>
  <c r="D127" i="15"/>
  <c r="E127" i="15" s="1"/>
  <c r="D126" i="15"/>
  <c r="E126" i="15" s="1"/>
  <c r="D125" i="15"/>
  <c r="E125" i="15" s="1"/>
  <c r="D122" i="15"/>
  <c r="E122" i="15" s="1"/>
  <c r="E140" i="11"/>
  <c r="D127" i="11"/>
  <c r="D126" i="11"/>
  <c r="D125" i="11"/>
  <c r="D122" i="11"/>
  <c r="D111" i="11"/>
  <c r="D113" i="11"/>
  <c r="E117" i="11"/>
  <c r="D114" i="11"/>
  <c r="D112" i="11"/>
  <c r="D110" i="11"/>
  <c r="D109" i="11"/>
  <c r="E105" i="11"/>
  <c r="E190" i="15" l="1"/>
  <c r="E161" i="15"/>
  <c r="D143" i="15"/>
  <c r="E143" i="15" s="1"/>
  <c r="D144" i="15" s="1"/>
  <c r="E144" i="15" s="1"/>
  <c r="C158" i="15"/>
  <c r="D193" i="15"/>
  <c r="F219" i="15"/>
  <c r="D143" i="11"/>
  <c r="E172" i="11"/>
  <c r="D175" i="11" s="1"/>
  <c r="E175" i="11" s="1"/>
  <c r="E145" i="15"/>
  <c r="E184" i="11"/>
  <c r="C186" i="11"/>
  <c r="D206" i="15"/>
  <c r="E206" i="15" s="1"/>
  <c r="D207" i="15" s="1"/>
  <c r="E207" i="15" s="1"/>
  <c r="D116" i="15"/>
  <c r="E184" i="15"/>
  <c r="C186" i="15"/>
  <c r="E186" i="15" s="1"/>
  <c r="C188" i="15"/>
  <c r="E188" i="15" s="1"/>
  <c r="C192" i="15"/>
  <c r="E192" i="15" s="1"/>
  <c r="D129" i="15"/>
  <c r="C27" i="5"/>
  <c r="C35" i="5"/>
  <c r="C30" i="5"/>
  <c r="C29" i="5"/>
  <c r="C38" i="5" s="1"/>
  <c r="C159" i="15" l="1"/>
  <c r="D160" i="15" s="1"/>
  <c r="E160" i="15" s="1"/>
  <c r="D148" i="15"/>
  <c r="E148" i="15" s="1"/>
  <c r="D149" i="15" s="1"/>
  <c r="E149" i="15" s="1"/>
  <c r="E150" i="15" s="1"/>
  <c r="D151" i="15" s="1"/>
  <c r="E151" i="15" s="1"/>
  <c r="C163" i="15"/>
  <c r="C164" i="15" s="1"/>
  <c r="D165" i="15" s="1"/>
  <c r="E165" i="15" s="1"/>
  <c r="E166" i="15" s="1"/>
  <c r="D167" i="15" s="1"/>
  <c r="E167" i="15" s="1"/>
  <c r="F194" i="15"/>
  <c r="C19" i="9" l="1"/>
  <c r="D94" i="15"/>
  <c r="D94" i="11"/>
  <c r="E96" i="11"/>
  <c r="C23" i="4"/>
  <c r="B28" i="4" s="1"/>
  <c r="F21" i="4"/>
  <c r="E21" i="4"/>
  <c r="D21" i="4"/>
  <c r="C9" i="4"/>
  <c r="B14" i="4" s="1"/>
  <c r="F7" i="4"/>
  <c r="E7" i="4"/>
  <c r="D7" i="4"/>
  <c r="C29" i="8"/>
  <c r="C18" i="8"/>
  <c r="C15" i="8"/>
  <c r="A216" i="13"/>
  <c r="A207" i="13"/>
  <c r="E206" i="13"/>
  <c r="F207" i="13" s="1"/>
  <c r="E199" i="13"/>
  <c r="A199" i="13"/>
  <c r="C195" i="13"/>
  <c r="C197" i="13" s="1"/>
  <c r="E197" i="13" s="1"/>
  <c r="D198" i="13" s="1"/>
  <c r="E198" i="13" s="1"/>
  <c r="F190" i="13"/>
  <c r="E33" i="13" s="1"/>
  <c r="A188" i="13"/>
  <c r="A178" i="13"/>
  <c r="C177" i="13"/>
  <c r="C175" i="13"/>
  <c r="E175" i="13" s="1"/>
  <c r="E173" i="13"/>
  <c r="A170" i="13"/>
  <c r="C169" i="13"/>
  <c r="E169" i="13" s="1"/>
  <c r="F170" i="13" s="1"/>
  <c r="E31" i="13" s="1"/>
  <c r="A165" i="13"/>
  <c r="D155" i="13"/>
  <c r="D164" i="13" s="1"/>
  <c r="E147" i="13"/>
  <c r="A147" i="13"/>
  <c r="C145" i="13"/>
  <c r="E145" i="13" s="1"/>
  <c r="C144" i="13"/>
  <c r="E144" i="13" s="1"/>
  <c r="C143" i="13"/>
  <c r="E143" i="13" s="1"/>
  <c r="E139" i="13"/>
  <c r="A139" i="13"/>
  <c r="C138" i="13"/>
  <c r="A138" i="13"/>
  <c r="C133" i="13"/>
  <c r="C132" i="13"/>
  <c r="E132" i="13" s="1"/>
  <c r="E127" i="13"/>
  <c r="E123" i="13"/>
  <c r="A123" i="13"/>
  <c r="C120" i="13"/>
  <c r="C119" i="13"/>
  <c r="C134" i="13" s="1"/>
  <c r="E116" i="13"/>
  <c r="D119" i="13" s="1"/>
  <c r="C115" i="13"/>
  <c r="C114" i="13"/>
  <c r="E111" i="13"/>
  <c r="A84" i="13"/>
  <c r="A79" i="13"/>
  <c r="F79" i="13"/>
  <c r="E22" i="13" s="1"/>
  <c r="A78" i="13"/>
  <c r="A83" i="13" s="1"/>
  <c r="A74" i="13"/>
  <c r="D73" i="13"/>
  <c r="C73" i="13"/>
  <c r="E66" i="13"/>
  <c r="A66" i="13"/>
  <c r="E58" i="13"/>
  <c r="D61" i="13" s="1"/>
  <c r="E61" i="13" s="1"/>
  <c r="E48" i="13"/>
  <c r="A48" i="13"/>
  <c r="E44" i="13"/>
  <c r="A44" i="13"/>
  <c r="A36" i="13"/>
  <c r="A34" i="13"/>
  <c r="A33" i="13"/>
  <c r="A32" i="13"/>
  <c r="A44" i="14" s="1"/>
  <c r="A31" i="13"/>
  <c r="A43" i="14" s="1"/>
  <c r="A30" i="13"/>
  <c r="A42" i="14" s="1"/>
  <c r="A29" i="13"/>
  <c r="A41" i="14" s="1"/>
  <c r="A28" i="13"/>
  <c r="A40" i="14" s="1"/>
  <c r="A27" i="13"/>
  <c r="A39" i="14" s="1"/>
  <c r="A26" i="13"/>
  <c r="A38" i="14" s="1"/>
  <c r="A25" i="13"/>
  <c r="A24" i="13"/>
  <c r="A23" i="13"/>
  <c r="A22" i="13"/>
  <c r="A21" i="13"/>
  <c r="A20" i="13"/>
  <c r="A19" i="13"/>
  <c r="A64" i="12"/>
  <c r="E52" i="12"/>
  <c r="A52" i="12"/>
  <c r="C51" i="12"/>
  <c r="A51" i="12"/>
  <c r="E45" i="12"/>
  <c r="E41" i="12"/>
  <c r="A41" i="12"/>
  <c r="C38" i="12"/>
  <c r="E34" i="12"/>
  <c r="D37" i="12" s="1"/>
  <c r="E22" i="12"/>
  <c r="A16" i="12"/>
  <c r="A15" i="12"/>
  <c r="A30" i="14" s="1"/>
  <c r="A14" i="12"/>
  <c r="A29" i="14" s="1"/>
  <c r="A28" i="14"/>
  <c r="A12" i="12"/>
  <c r="A240" i="15"/>
  <c r="E230" i="15"/>
  <c r="A230" i="15"/>
  <c r="C226" i="15"/>
  <c r="C228" i="15" s="1"/>
  <c r="E228" i="15" s="1"/>
  <c r="D229" i="15" s="1"/>
  <c r="E229" i="15" s="1"/>
  <c r="F221" i="15"/>
  <c r="E33" i="15" s="1"/>
  <c r="A219" i="15"/>
  <c r="A208" i="15"/>
  <c r="A199" i="15"/>
  <c r="C198" i="15"/>
  <c r="E198" i="15" s="1"/>
  <c r="F199" i="15" s="1"/>
  <c r="E31" i="15" s="1"/>
  <c r="A194" i="15"/>
  <c r="E176" i="15"/>
  <c r="A176" i="15"/>
  <c r="C174" i="15"/>
  <c r="E174" i="15" s="1"/>
  <c r="C173" i="15"/>
  <c r="E173" i="15" s="1"/>
  <c r="C172" i="15"/>
  <c r="E172" i="15" s="1"/>
  <c r="E168" i="15"/>
  <c r="F168" i="15" s="1"/>
  <c r="A168" i="15"/>
  <c r="E152" i="15"/>
  <c r="F152" i="15" s="1"/>
  <c r="A152" i="15"/>
  <c r="E130" i="15"/>
  <c r="E117" i="15"/>
  <c r="E96" i="15"/>
  <c r="A89" i="15"/>
  <c r="A95" i="15" s="1"/>
  <c r="A88" i="15"/>
  <c r="A94" i="15" s="1"/>
  <c r="E76" i="15"/>
  <c r="E68" i="15"/>
  <c r="E63" i="15"/>
  <c r="E55" i="15"/>
  <c r="E46" i="15"/>
  <c r="A46" i="15"/>
  <c r="E42" i="15"/>
  <c r="A42" i="15"/>
  <c r="E41" i="15"/>
  <c r="A41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240" i="11"/>
  <c r="E230" i="11"/>
  <c r="A230" i="11"/>
  <c r="C226" i="11"/>
  <c r="E226" i="11" s="1"/>
  <c r="A219" i="11"/>
  <c r="A208" i="11"/>
  <c r="C207" i="11"/>
  <c r="E205" i="11"/>
  <c r="D206" i="11" s="1"/>
  <c r="E206" i="11" s="1"/>
  <c r="D207" i="11" s="1"/>
  <c r="A199" i="11"/>
  <c r="A194" i="11"/>
  <c r="D192" i="11"/>
  <c r="D190" i="11"/>
  <c r="D188" i="11"/>
  <c r="D186" i="11"/>
  <c r="E176" i="11"/>
  <c r="F176" i="11" s="1"/>
  <c r="A176" i="11"/>
  <c r="E168" i="11"/>
  <c r="A168" i="11"/>
  <c r="C167" i="11"/>
  <c r="C162" i="11"/>
  <c r="E156" i="11"/>
  <c r="E152" i="11"/>
  <c r="A152" i="11"/>
  <c r="C145" i="11"/>
  <c r="E145" i="11" s="1"/>
  <c r="E130" i="11"/>
  <c r="E128" i="11"/>
  <c r="E127" i="11"/>
  <c r="E126" i="11"/>
  <c r="E125" i="11"/>
  <c r="E124" i="11"/>
  <c r="E123" i="11"/>
  <c r="E122" i="11"/>
  <c r="E115" i="11"/>
  <c r="E114" i="11"/>
  <c r="E113" i="11"/>
  <c r="E112" i="11"/>
  <c r="E111" i="11"/>
  <c r="E110" i="11"/>
  <c r="E109" i="11"/>
  <c r="E108" i="11"/>
  <c r="E107" i="11"/>
  <c r="E106" i="11"/>
  <c r="A88" i="11"/>
  <c r="A95" i="11" s="1"/>
  <c r="E87" i="11"/>
  <c r="A87" i="11"/>
  <c r="A94" i="11" s="1"/>
  <c r="C82" i="11"/>
  <c r="C81" i="11"/>
  <c r="E75" i="11"/>
  <c r="E67" i="11"/>
  <c r="D82" i="11" s="1"/>
  <c r="E63" i="11"/>
  <c r="E55" i="11"/>
  <c r="E46" i="11"/>
  <c r="A46" i="11"/>
  <c r="E42" i="11"/>
  <c r="C95" i="11" s="1"/>
  <c r="E95" i="11" s="1"/>
  <c r="A42" i="11"/>
  <c r="E41" i="11"/>
  <c r="C94" i="11" s="1"/>
  <c r="A41" i="11"/>
  <c r="A35" i="11"/>
  <c r="A34" i="11"/>
  <c r="A46" i="14" s="1"/>
  <c r="B12" i="16" s="1"/>
  <c r="E33" i="11"/>
  <c r="A33" i="11"/>
  <c r="A45" i="14" s="1"/>
  <c r="B11" i="16" s="1"/>
  <c r="A32" i="11"/>
  <c r="A27" i="14" s="1"/>
  <c r="A31" i="11"/>
  <c r="A26" i="14" s="1"/>
  <c r="A30" i="11"/>
  <c r="A25" i="14" s="1"/>
  <c r="A29" i="11"/>
  <c r="A24" i="14" s="1"/>
  <c r="A28" i="11"/>
  <c r="A23" i="14" s="1"/>
  <c r="A27" i="11"/>
  <c r="A22" i="14" s="1"/>
  <c r="A26" i="11"/>
  <c r="A21" i="14" s="1"/>
  <c r="A25" i="11"/>
  <c r="A24" i="11"/>
  <c r="A19" i="14" s="1"/>
  <c r="B9" i="16" s="1"/>
  <c r="A23" i="11"/>
  <c r="A18" i="14" s="1"/>
  <c r="A22" i="11"/>
  <c r="A17" i="14" s="1"/>
  <c r="A21" i="11"/>
  <c r="A16" i="14" s="1"/>
  <c r="A20" i="11"/>
  <c r="A13" i="14" s="1"/>
  <c r="A19" i="11"/>
  <c r="A12" i="14" s="1"/>
  <c r="A18" i="11"/>
  <c r="A11" i="14" s="1"/>
  <c r="B8" i="16" s="1"/>
  <c r="B15" i="16"/>
  <c r="A4" i="16"/>
  <c r="A48" i="14"/>
  <c r="B14" i="16" s="1"/>
  <c r="B13" i="16"/>
  <c r="A20" i="14"/>
  <c r="B10" i="16" s="1"/>
  <c r="E195" i="13" l="1"/>
  <c r="D196" i="13" s="1"/>
  <c r="E196" i="13" s="1"/>
  <c r="E226" i="15"/>
  <c r="D227" i="15" s="1"/>
  <c r="E227" i="15" s="1"/>
  <c r="E43" i="15"/>
  <c r="E45" i="14"/>
  <c r="E11" i="16" s="1"/>
  <c r="N11" i="16" s="1"/>
  <c r="E207" i="11"/>
  <c r="D227" i="11"/>
  <c r="E227" i="11" s="1"/>
  <c r="E45" i="13"/>
  <c r="C100" i="13"/>
  <c r="E100" i="13" s="1"/>
  <c r="F101" i="13" s="1"/>
  <c r="F103" i="13" s="1"/>
  <c r="F199" i="13"/>
  <c r="F201" i="13" s="1"/>
  <c r="E34" i="13" s="1"/>
  <c r="E163" i="13"/>
  <c r="E157" i="13"/>
  <c r="E161" i="13"/>
  <c r="E159" i="13"/>
  <c r="D146" i="13"/>
  <c r="E146" i="13" s="1"/>
  <c r="F147" i="13" s="1"/>
  <c r="E29" i="13" s="1"/>
  <c r="E41" i="14" s="1"/>
  <c r="E73" i="13"/>
  <c r="F74" i="13" s="1"/>
  <c r="E21" i="13" s="1"/>
  <c r="C219" i="21"/>
  <c r="C63" i="12"/>
  <c r="C239" i="11"/>
  <c r="E143" i="11"/>
  <c r="C158" i="11"/>
  <c r="C94" i="15"/>
  <c r="E94" i="15" s="1"/>
  <c r="C129" i="13"/>
  <c r="C129" i="15"/>
  <c r="E129" i="15" s="1"/>
  <c r="F130" i="15" s="1"/>
  <c r="C89" i="15"/>
  <c r="E89" i="15" s="1"/>
  <c r="D114" i="13"/>
  <c r="E114" i="13" s="1"/>
  <c r="D115" i="13" s="1"/>
  <c r="E115" i="13" s="1"/>
  <c r="D176" i="13"/>
  <c r="E176" i="13" s="1"/>
  <c r="D177" i="13" s="1"/>
  <c r="E177" i="13" s="1"/>
  <c r="F178" i="13" s="1"/>
  <c r="E32" i="13" s="1"/>
  <c r="C88" i="15"/>
  <c r="C116" i="15"/>
  <c r="E116" i="15" s="1"/>
  <c r="E155" i="13"/>
  <c r="D70" i="11"/>
  <c r="E70" i="11" s="1"/>
  <c r="E71" i="11" s="1"/>
  <c r="D72" i="11" s="1"/>
  <c r="E82" i="11"/>
  <c r="D82" i="15"/>
  <c r="E82" i="15" s="1"/>
  <c r="D58" i="15"/>
  <c r="E58" i="15" s="1"/>
  <c r="E59" i="15" s="1"/>
  <c r="E119" i="13"/>
  <c r="D120" i="13" s="1"/>
  <c r="E120" i="13" s="1"/>
  <c r="D71" i="15"/>
  <c r="E71" i="15" s="1"/>
  <c r="E72" i="15" s="1"/>
  <c r="D73" i="15" s="1"/>
  <c r="D83" i="15"/>
  <c r="E83" i="15" s="1"/>
  <c r="D81" i="11"/>
  <c r="E81" i="11" s="1"/>
  <c r="D58" i="11"/>
  <c r="E58" i="11" s="1"/>
  <c r="E59" i="11" s="1"/>
  <c r="D175" i="15"/>
  <c r="E175" i="15" s="1"/>
  <c r="F176" i="15" s="1"/>
  <c r="E29" i="15" s="1"/>
  <c r="C214" i="13"/>
  <c r="C239" i="15"/>
  <c r="D116" i="11"/>
  <c r="E186" i="11"/>
  <c r="C39" i="5"/>
  <c r="C28" i="8"/>
  <c r="C25" i="8"/>
  <c r="E29" i="11"/>
  <c r="E94" i="11"/>
  <c r="F96" i="11" s="1"/>
  <c r="D193" i="11"/>
  <c r="C161" i="11"/>
  <c r="E161" i="11" s="1"/>
  <c r="C228" i="11"/>
  <c r="E228" i="11" s="1"/>
  <c r="D229" i="11" s="1"/>
  <c r="E229" i="11" s="1"/>
  <c r="D129" i="11"/>
  <c r="D215" i="13"/>
  <c r="E215" i="13" s="1"/>
  <c r="E40" i="13" s="1"/>
  <c r="E35" i="13"/>
  <c r="E47" i="14" s="1"/>
  <c r="E43" i="14"/>
  <c r="C83" i="13"/>
  <c r="E24" i="13"/>
  <c r="E62" i="13"/>
  <c r="E37" i="12"/>
  <c r="D38" i="12" s="1"/>
  <c r="E38" i="12" s="1"/>
  <c r="E39" i="12" s="1"/>
  <c r="C47" i="12"/>
  <c r="E28" i="15"/>
  <c r="E27" i="15"/>
  <c r="F230" i="15"/>
  <c r="F232" i="15" s="1"/>
  <c r="E34" i="15" s="1"/>
  <c r="F117" i="15"/>
  <c r="F208" i="15"/>
  <c r="E32" i="15" s="1"/>
  <c r="C95" i="15"/>
  <c r="E95" i="15" s="1"/>
  <c r="E88" i="15"/>
  <c r="D148" i="11"/>
  <c r="E148" i="11" s="1"/>
  <c r="D149" i="11" s="1"/>
  <c r="E149" i="11" s="1"/>
  <c r="C163" i="11"/>
  <c r="C164" i="11" s="1"/>
  <c r="D165" i="11" s="1"/>
  <c r="E165" i="11" s="1"/>
  <c r="E43" i="11"/>
  <c r="C188" i="11"/>
  <c r="E188" i="11" s="1"/>
  <c r="C88" i="11"/>
  <c r="E88" i="11" s="1"/>
  <c r="E89" i="11" s="1"/>
  <c r="F90" i="11" s="1"/>
  <c r="E22" i="11" s="1"/>
  <c r="C116" i="11"/>
  <c r="C129" i="11"/>
  <c r="C190" i="11"/>
  <c r="E190" i="11" s="1"/>
  <c r="E198" i="11"/>
  <c r="F199" i="11" s="1"/>
  <c r="E31" i="11" s="1"/>
  <c r="E26" i="14" s="1"/>
  <c r="C192" i="11"/>
  <c r="E192" i="11" s="1"/>
  <c r="F84" i="15" l="1"/>
  <c r="E21" i="15" s="1"/>
  <c r="C135" i="13"/>
  <c r="D136" i="13" s="1"/>
  <c r="E136" i="13" s="1"/>
  <c r="F96" i="15"/>
  <c r="E23" i="15" s="1"/>
  <c r="D144" i="11"/>
  <c r="E144" i="11" s="1"/>
  <c r="E150" i="11" s="1"/>
  <c r="D151" i="11" s="1"/>
  <c r="E151" i="11" s="1"/>
  <c r="F152" i="11" s="1"/>
  <c r="F230" i="11"/>
  <c r="F232" i="11" s="1"/>
  <c r="E34" i="11" s="1"/>
  <c r="E46" i="14" s="1"/>
  <c r="E12" i="16" s="1"/>
  <c r="G12" i="16" s="1"/>
  <c r="C130" i="13"/>
  <c r="D131" i="13" s="1"/>
  <c r="E131" i="13" s="1"/>
  <c r="E137" i="13" s="1"/>
  <c r="D138" i="13" s="1"/>
  <c r="E138" i="13" s="1"/>
  <c r="E24" i="14"/>
  <c r="C159" i="11"/>
  <c r="D160" i="11" s="1"/>
  <c r="E160" i="11" s="1"/>
  <c r="E166" i="11" s="1"/>
  <c r="D167" i="11" s="1"/>
  <c r="E167" i="11" s="1"/>
  <c r="F168" i="11" s="1"/>
  <c r="E83" i="13"/>
  <c r="F84" i="13" s="1"/>
  <c r="E23" i="13" s="1"/>
  <c r="E18" i="14" s="1"/>
  <c r="E121" i="13"/>
  <c r="D122" i="13" s="1"/>
  <c r="E122" i="13" s="1"/>
  <c r="F123" i="13" s="1"/>
  <c r="C33" i="8"/>
  <c r="F90" i="15"/>
  <c r="E22" i="15" s="1"/>
  <c r="E17" i="14" s="1"/>
  <c r="F165" i="13"/>
  <c r="E30" i="13" s="1"/>
  <c r="E42" i="14" s="1"/>
  <c r="E116" i="11"/>
  <c r="F117" i="11" s="1"/>
  <c r="O11" i="16"/>
  <c r="C11" i="16"/>
  <c r="P11" i="16"/>
  <c r="M11" i="16"/>
  <c r="I11" i="16"/>
  <c r="F11" i="16"/>
  <c r="C48" i="12"/>
  <c r="D49" i="12" s="1"/>
  <c r="E49" i="12" s="1"/>
  <c r="E50" i="12" s="1"/>
  <c r="J11" i="16"/>
  <c r="G11" i="16"/>
  <c r="K11" i="16"/>
  <c r="H11" i="16"/>
  <c r="L11" i="16"/>
  <c r="F208" i="11"/>
  <c r="E32" i="11" s="1"/>
  <c r="E27" i="14" s="1"/>
  <c r="F132" i="15"/>
  <c r="E24" i="15" s="1"/>
  <c r="C26" i="8"/>
  <c r="C27" i="8" s="1"/>
  <c r="C17" i="8"/>
  <c r="C23" i="8" s="1"/>
  <c r="C32" i="8" s="1"/>
  <c r="F83" i="11"/>
  <c r="E21" i="11" s="1"/>
  <c r="E129" i="11"/>
  <c r="F130" i="11" s="1"/>
  <c r="F194" i="11"/>
  <c r="E30" i="11" s="1"/>
  <c r="D63" i="13"/>
  <c r="E13" i="16"/>
  <c r="E44" i="14"/>
  <c r="D40" i="12"/>
  <c r="E40" i="12" s="1"/>
  <c r="F41" i="12" s="1"/>
  <c r="E30" i="15"/>
  <c r="D60" i="15"/>
  <c r="D60" i="11"/>
  <c r="E23" i="11"/>
  <c r="E25" i="14" l="1"/>
  <c r="E16" i="14"/>
  <c r="F139" i="13"/>
  <c r="E28" i="13" s="1"/>
  <c r="E40" i="14" s="1"/>
  <c r="F132" i="11"/>
  <c r="E24" i="11" s="1"/>
  <c r="E19" i="14" s="1"/>
  <c r="E27" i="13"/>
  <c r="E28" i="11"/>
  <c r="E23" i="14" s="1"/>
  <c r="E27" i="11"/>
  <c r="E22" i="14" s="1"/>
  <c r="D51" i="12"/>
  <c r="E51" i="12" s="1"/>
  <c r="J12" i="16"/>
  <c r="L12" i="16"/>
  <c r="F211" i="15"/>
  <c r="E25" i="15" s="1"/>
  <c r="N12" i="16"/>
  <c r="O12" i="16"/>
  <c r="P12" i="16"/>
  <c r="F12" i="16"/>
  <c r="I12" i="16"/>
  <c r="K12" i="16"/>
  <c r="M12" i="16"/>
  <c r="H12" i="16"/>
  <c r="C12" i="16"/>
  <c r="C30" i="8"/>
  <c r="C34" i="8"/>
  <c r="C13" i="16"/>
  <c r="L13" i="16"/>
  <c r="J13" i="16"/>
  <c r="K13" i="16"/>
  <c r="I13" i="16"/>
  <c r="F13" i="16"/>
  <c r="P13" i="16"/>
  <c r="O13" i="16"/>
  <c r="M13" i="16"/>
  <c r="H13" i="16"/>
  <c r="N13" i="16"/>
  <c r="G13" i="16"/>
  <c r="E14" i="12"/>
  <c r="E26" i="15"/>
  <c r="F52" i="12" l="1"/>
  <c r="E15" i="12" s="1"/>
  <c r="F181" i="13"/>
  <c r="E25" i="13" s="1"/>
  <c r="E39" i="14"/>
  <c r="E38" i="14" s="1"/>
  <c r="E26" i="13"/>
  <c r="E29" i="14"/>
  <c r="F211" i="11"/>
  <c r="E25" i="11" s="1"/>
  <c r="E21" i="14"/>
  <c r="E26" i="11"/>
  <c r="E9" i="16"/>
  <c r="I9" i="16" s="1"/>
  <c r="C35" i="8"/>
  <c r="F55" i="12" l="1"/>
  <c r="E30" i="14"/>
  <c r="E28" i="14" s="1"/>
  <c r="E13" i="12"/>
  <c r="F58" i="12"/>
  <c r="D63" i="12" s="1"/>
  <c r="E63" i="12" s="1"/>
  <c r="F64" i="12" s="1"/>
  <c r="F66" i="12" s="1"/>
  <c r="E20" i="14"/>
  <c r="C66" i="21"/>
  <c r="E66" i="21" s="1"/>
  <c r="E67" i="21" s="1"/>
  <c r="D68" i="21" s="1"/>
  <c r="E68" i="21" s="1"/>
  <c r="F69" i="21" s="1"/>
  <c r="E13" i="21" s="1"/>
  <c r="E15" i="14" s="1"/>
  <c r="C54" i="21"/>
  <c r="E54" i="21" s="1"/>
  <c r="E55" i="21" s="1"/>
  <c r="D56" i="21" s="1"/>
  <c r="E56" i="21" s="1"/>
  <c r="F57" i="21" s="1"/>
  <c r="C72" i="11"/>
  <c r="E72" i="11" s="1"/>
  <c r="E73" i="11" s="1"/>
  <c r="D74" i="11" s="1"/>
  <c r="E74" i="11" s="1"/>
  <c r="F75" i="11" s="1"/>
  <c r="E20" i="11" s="1"/>
  <c r="C60" i="11"/>
  <c r="E60" i="11" s="1"/>
  <c r="E61" i="11" s="1"/>
  <c r="D62" i="11" s="1"/>
  <c r="E62" i="11" s="1"/>
  <c r="F63" i="11" s="1"/>
  <c r="E19" i="11" s="1"/>
  <c r="C73" i="15"/>
  <c r="E73" i="15" s="1"/>
  <c r="E74" i="15" s="1"/>
  <c r="D75" i="15" s="1"/>
  <c r="E75" i="15" s="1"/>
  <c r="F76" i="15" s="1"/>
  <c r="E20" i="15" s="1"/>
  <c r="C60" i="15"/>
  <c r="E60" i="15" s="1"/>
  <c r="E61" i="15" s="1"/>
  <c r="D62" i="15" s="1"/>
  <c r="E62" i="15" s="1"/>
  <c r="F63" i="15" s="1"/>
  <c r="E19" i="15" s="1"/>
  <c r="C63" i="13"/>
  <c r="E63" i="13" s="1"/>
  <c r="E64" i="13" s="1"/>
  <c r="D65" i="13" s="1"/>
  <c r="E65" i="13" s="1"/>
  <c r="F66" i="13" s="1"/>
  <c r="E20" i="13" s="1"/>
  <c r="G9" i="16"/>
  <c r="F9" i="16"/>
  <c r="P9" i="16"/>
  <c r="O9" i="16"/>
  <c r="N9" i="16"/>
  <c r="L9" i="16"/>
  <c r="J9" i="16"/>
  <c r="C9" i="16"/>
  <c r="M9" i="16"/>
  <c r="K9" i="16"/>
  <c r="H9" i="16"/>
  <c r="E12" i="12"/>
  <c r="F98" i="11" l="1"/>
  <c r="F234" i="11" s="1"/>
  <c r="D239" i="11" s="1"/>
  <c r="E239" i="11" s="1"/>
  <c r="F240" i="11" s="1"/>
  <c r="F242" i="11" s="1"/>
  <c r="E35" i="11" s="1"/>
  <c r="E12" i="14"/>
  <c r="E19" i="13"/>
  <c r="E13" i="14"/>
  <c r="F86" i="13"/>
  <c r="F209" i="13" s="1"/>
  <c r="E16" i="12"/>
  <c r="E17" i="12" s="1"/>
  <c r="F69" i="12"/>
  <c r="F73" i="12" s="1"/>
  <c r="E12" i="21"/>
  <c r="E14" i="14" s="1"/>
  <c r="F98" i="15"/>
  <c r="F234" i="15" s="1"/>
  <c r="F91" i="21"/>
  <c r="F214" i="21" s="1"/>
  <c r="E18" i="11"/>
  <c r="E18" i="15"/>
  <c r="E10" i="16"/>
  <c r="D214" i="13" l="1"/>
  <c r="E214" i="13" s="1"/>
  <c r="D239" i="15"/>
  <c r="E239" i="15" s="1"/>
  <c r="F240" i="15" s="1"/>
  <c r="F242" i="15" s="1"/>
  <c r="F216" i="13"/>
  <c r="F218" i="13" s="1"/>
  <c r="F221" i="13" s="1"/>
  <c r="E11" i="14"/>
  <c r="E39" i="13"/>
  <c r="E36" i="11"/>
  <c r="F22" i="11" s="1"/>
  <c r="F245" i="11"/>
  <c r="F251" i="11" s="1"/>
  <c r="E11" i="21"/>
  <c r="D219" i="21"/>
  <c r="E219" i="21" s="1"/>
  <c r="J10" i="16"/>
  <c r="I10" i="16"/>
  <c r="O10" i="16"/>
  <c r="K10" i="16"/>
  <c r="H10" i="16"/>
  <c r="N10" i="16"/>
  <c r="M10" i="16"/>
  <c r="G10" i="16"/>
  <c r="P10" i="16"/>
  <c r="L10" i="16"/>
  <c r="F10" i="16"/>
  <c r="C10" i="16"/>
  <c r="E36" i="13" l="1"/>
  <c r="E37" i="13" s="1"/>
  <c r="F31" i="13" s="1"/>
  <c r="E35" i="15"/>
  <c r="E36" i="15" s="1"/>
  <c r="F30" i="15" s="1"/>
  <c r="F245" i="15"/>
  <c r="F249" i="15" s="1"/>
  <c r="F15" i="12"/>
  <c r="F16" i="12"/>
  <c r="F24" i="15"/>
  <c r="F32" i="15"/>
  <c r="F23" i="15"/>
  <c r="F14" i="12"/>
  <c r="F13" i="12"/>
  <c r="F12" i="12"/>
  <c r="F28" i="15"/>
  <c r="F31" i="15"/>
  <c r="F18" i="15"/>
  <c r="F22" i="15"/>
  <c r="F25" i="15"/>
  <c r="F24" i="11"/>
  <c r="F25" i="11"/>
  <c r="F31" i="11"/>
  <c r="F26" i="11"/>
  <c r="F20" i="11"/>
  <c r="F19" i="11"/>
  <c r="F23" i="11"/>
  <c r="F28" i="11"/>
  <c r="F33" i="11"/>
  <c r="F35" i="11"/>
  <c r="F29" i="11"/>
  <c r="F21" i="11"/>
  <c r="F18" i="11"/>
  <c r="F34" i="11"/>
  <c r="F32" i="11"/>
  <c r="F27" i="11"/>
  <c r="F21" i="15"/>
  <c r="F20" i="15"/>
  <c r="F29" i="15"/>
  <c r="F26" i="15"/>
  <c r="F27" i="15"/>
  <c r="F30" i="11"/>
  <c r="F220" i="21"/>
  <c r="F222" i="21" s="1"/>
  <c r="E8" i="16"/>
  <c r="F19" i="15" l="1"/>
  <c r="F35" i="15"/>
  <c r="F20" i="13"/>
  <c r="F34" i="13"/>
  <c r="F25" i="13"/>
  <c r="F23" i="13"/>
  <c r="F21" i="13"/>
  <c r="F19" i="13"/>
  <c r="F27" i="13"/>
  <c r="F33" i="13"/>
  <c r="F35" i="13"/>
  <c r="F28" i="13"/>
  <c r="F40" i="13"/>
  <c r="F32" i="13"/>
  <c r="F24" i="13"/>
  <c r="F30" i="13"/>
  <c r="F36" i="13"/>
  <c r="F22" i="13"/>
  <c r="F39" i="13"/>
  <c r="F29" i="13"/>
  <c r="F26" i="13"/>
  <c r="F34" i="15"/>
  <c r="F33" i="15"/>
  <c r="F36" i="15" s="1"/>
  <c r="E48" i="14"/>
  <c r="E49" i="14" s="1"/>
  <c r="F17" i="12"/>
  <c r="F36" i="11"/>
  <c r="E28" i="21"/>
  <c r="F225" i="21"/>
  <c r="N8" i="16"/>
  <c r="F8" i="16"/>
  <c r="G8" i="16"/>
  <c r="I8" i="16"/>
  <c r="P8" i="16"/>
  <c r="C8" i="16"/>
  <c r="K8" i="16"/>
  <c r="O8" i="16"/>
  <c r="H8" i="16"/>
  <c r="L8" i="16"/>
  <c r="M8" i="16"/>
  <c r="J8" i="16"/>
  <c r="F37" i="13" l="1"/>
  <c r="E29" i="21"/>
  <c r="E14" i="16"/>
  <c r="F25" i="21" l="1"/>
  <c r="F26" i="21"/>
  <c r="F27" i="21"/>
  <c r="F17" i="21"/>
  <c r="F29" i="21"/>
  <c r="F13" i="21"/>
  <c r="F14" i="21"/>
  <c r="F15" i="21"/>
  <c r="F16" i="21"/>
  <c r="F22" i="21"/>
  <c r="F11" i="21"/>
  <c r="F23" i="21"/>
  <c r="F12" i="21"/>
  <c r="F24" i="21"/>
  <c r="F18" i="21"/>
  <c r="F21" i="21"/>
  <c r="F20" i="21"/>
  <c r="F19" i="21"/>
  <c r="F28" i="21"/>
  <c r="H14" i="16"/>
  <c r="H15" i="16" s="1"/>
  <c r="P14" i="16"/>
  <c r="P15" i="16" s="1"/>
  <c r="K14" i="16"/>
  <c r="K15" i="16" s="1"/>
  <c r="I14" i="16"/>
  <c r="I15" i="16" s="1"/>
  <c r="O14" i="16"/>
  <c r="O15" i="16" s="1"/>
  <c r="N14" i="16"/>
  <c r="N15" i="16" s="1"/>
  <c r="M14" i="16"/>
  <c r="M15" i="16" s="1"/>
  <c r="J14" i="16"/>
  <c r="J15" i="16" s="1"/>
  <c r="F14" i="16"/>
  <c r="F15" i="16" s="1"/>
  <c r="L14" i="16"/>
  <c r="L15" i="16" s="1"/>
  <c r="G14" i="16"/>
  <c r="G15" i="16" s="1"/>
  <c r="C14" i="16"/>
  <c r="C15" i="16" s="1"/>
  <c r="D10" i="16" s="1"/>
  <c r="E15" i="16"/>
  <c r="F13" i="14"/>
  <c r="F38" i="14"/>
  <c r="F36" i="14"/>
  <c r="F47" i="14"/>
  <c r="F28" i="14"/>
  <c r="F34" i="14"/>
  <c r="F40" i="14"/>
  <c r="F22" i="14"/>
  <c r="F25" i="14"/>
  <c r="F17" i="14"/>
  <c r="F35" i="14"/>
  <c r="F21" i="14"/>
  <c r="F20" i="14"/>
  <c r="F27" i="14"/>
  <c r="F18" i="14"/>
  <c r="F43" i="14"/>
  <c r="F46" i="14"/>
  <c r="F32" i="14"/>
  <c r="F29" i="14"/>
  <c r="F42" i="14"/>
  <c r="F30" i="14"/>
  <c r="F14" i="14"/>
  <c r="F23" i="14"/>
  <c r="F39" i="14"/>
  <c r="F12" i="14"/>
  <c r="F44" i="14"/>
  <c r="F49" i="14"/>
  <c r="F16" i="14"/>
  <c r="F11" i="14"/>
  <c r="F26" i="14"/>
  <c r="F31" i="14"/>
  <c r="F45" i="14"/>
  <c r="F41" i="14"/>
  <c r="F33" i="14"/>
  <c r="F24" i="14"/>
  <c r="F48" i="14"/>
  <c r="F37" i="14"/>
  <c r="F15" i="14"/>
  <c r="F19" i="14"/>
  <c r="D14" i="16" l="1"/>
  <c r="D9" i="16"/>
  <c r="D13" i="16"/>
  <c r="D12" i="16"/>
  <c r="D11" i="16"/>
  <c r="D8" i="16"/>
  <c r="D15" i="16" l="1"/>
  <c r="C15" i="9"/>
  <c r="C20" i="9" s="1"/>
  <c r="C22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9" authorId="0" shapeId="0" xr:uid="{00000000-0006-0000-0000-000001000000}">
      <text>
        <r>
          <rPr>
            <sz val="9"/>
            <rFont val="Tahoma"/>
            <family val="2"/>
          </rPr>
          <t xml:space="preserve">Qualquer custo previsto no edital e não contemplado nesta planilha modelo deverá ser devidamente incluído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/>
  </authors>
  <commentList>
    <comment ref="A16" authorId="0" shapeId="0" xr:uid="{00000000-0006-0000-0200-000001000000}">
      <text>
        <r>
          <rPr>
            <sz val="9"/>
            <rFont val="Tahoma"/>
            <family val="2"/>
          </rPr>
          <t xml:space="preserve">Qualquer custo previsto no edital e não contemplado nesta planilha modelo deverá ser devidamente incluído
</t>
        </r>
      </text>
    </comment>
    <comment ref="B49" authorId="0" shapeId="0" xr:uid="{00000000-0006-0000-0200-000002000000}">
      <text>
        <r>
          <rPr>
            <b/>
            <sz val="9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rFont val="Tahoma"/>
            <family val="2"/>
          </rPr>
          <t xml:space="preserve">
</t>
        </r>
      </text>
    </comment>
    <comment ref="D55" authorId="0" shapeId="0" xr:uid="{00000000-0006-0000-0200-000003000000}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56" authorId="0" shapeId="0" xr:uid="{7E3241D0-3450-4300-A733-4401115A45C2}">
      <text>
        <r>
          <rPr>
            <sz val="9"/>
            <rFont val="Tahoma"/>
            <family val="2"/>
          </rPr>
          <t>Informar o valor do salário Mínimo Nacional</t>
        </r>
      </text>
    </comment>
    <comment ref="C57" authorId="0" shapeId="0" xr:uid="{D4848610-2C7F-4930-A086-243D80F428A3}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0" authorId="0" shapeId="0" xr:uid="{00000000-0006-0000-0200-000006000000}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62" authorId="0" shapeId="0" xr:uid="{00000000-0006-0000-0200-000007000000}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67" authorId="0" shapeId="0" xr:uid="{00000000-0006-0000-0200-000008000000}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68" authorId="0" shapeId="0" xr:uid="{00000000-0006-0000-0200-000009000000}">
      <text>
        <r>
          <rPr>
            <sz val="9"/>
            <rFont val="Tahoma"/>
            <family val="2"/>
          </rPr>
          <t>Informar o valor do salário Mínimo Nacional</t>
        </r>
      </text>
    </comment>
    <comment ref="C69" authorId="0" shapeId="0" xr:uid="{00000000-0006-0000-0200-00000A000000}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0" authorId="0" shapeId="0" xr:uid="{00000000-0006-0000-0200-00000B000000}">
      <text>
        <r>
          <rPr>
            <sz val="9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2" authorId="0" shapeId="0" xr:uid="{00000000-0006-0000-0200-00000C000000}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74" authorId="0" shapeId="0" xr:uid="{00000000-0006-0000-0200-00000D000000}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79" authorId="0" shapeId="0" xr:uid="{00000000-0006-0000-0200-00000E000000}">
      <text>
        <r>
          <rPr>
            <sz val="9"/>
            <rFont val="Tahoma"/>
            <family val="2"/>
          </rPr>
          <t>Informar o valor unitário do VT no município</t>
        </r>
      </text>
    </comment>
    <comment ref="C80" authorId="0" shapeId="0" xr:uid="{00000000-0006-0000-0200-00000F000000}">
      <text>
        <r>
          <rPr>
            <sz val="9"/>
            <rFont val="Tahoma"/>
            <family val="2"/>
          </rPr>
          <t>Informar o número médio de dias trabalhados por mês</t>
        </r>
      </text>
    </comment>
    <comment ref="D81" authorId="1" shapeId="0" xr:uid="{346AE1EF-553D-48D0-A5C1-CED06C5FABDF}">
      <text>
        <r>
          <rPr>
            <sz val="10"/>
            <color rgb="FF000000"/>
            <rFont val="Calibri"/>
            <family val="2"/>
            <scheme val="minor"/>
          </rPr>
          <t>======
ID#AAAAoDJFF8k
Clauber Bridi    (2023-01-16 19:48:33)
Valor Unitário considerando o desconto legal de até 6% do salário</t>
        </r>
      </text>
    </comment>
    <comment ref="D82" authorId="1" shapeId="0" xr:uid="{E2D5E659-A2A2-4C71-9BB8-CBD34FFE253F}">
      <text>
        <r>
          <rPr>
            <sz val="10"/>
            <color rgb="FF000000"/>
            <rFont val="Calibri"/>
            <family val="2"/>
            <scheme val="minor"/>
          </rPr>
          <t>======
ID#AAAAoDJFF8k
Clauber Bridi    (2023-01-16 19:48:33)
Valor Unitário considerando o desconto legal de até 6% do salário</t>
        </r>
      </text>
    </comment>
    <comment ref="D87" authorId="0" shapeId="0" xr:uid="{00000000-0006-0000-0200-000012000000}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88" authorId="0" shapeId="0" xr:uid="{00000000-0006-0000-0200-000013000000}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94" authorId="0" shapeId="0" xr:uid="{00000000-0006-0000-0200-000014000000}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D95" authorId="0" shapeId="0" xr:uid="{00000000-0006-0000-0200-000015000000}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C105" authorId="0" shapeId="0" xr:uid="{00000000-0006-0000-0200-000016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5" authorId="0" shapeId="0" xr:uid="{00000000-0006-0000-0200-000017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6" authorId="0" shapeId="0" xr:uid="{00000000-0006-0000-0200-000018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6" authorId="0" shapeId="0" xr:uid="{00000000-0006-0000-0200-000019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7" authorId="0" shapeId="0" xr:uid="{00000000-0006-0000-0200-00001A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7" authorId="0" shapeId="0" xr:uid="{00000000-0006-0000-0200-00001B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8" authorId="0" shapeId="0" xr:uid="{00000000-0006-0000-0200-00001C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8" authorId="0" shapeId="0" xr:uid="{00000000-0006-0000-0200-00001D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9" authorId="0" shapeId="0" xr:uid="{00000000-0006-0000-0200-00001E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9" authorId="0" shapeId="0" xr:uid="{00000000-0006-0000-0200-00001F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0" authorId="0" shapeId="0" xr:uid="{00000000-0006-0000-0200-000020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0" authorId="0" shapeId="0" xr:uid="{00000000-0006-0000-0200-000021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1" authorId="0" shapeId="0" xr:uid="{00000000-0006-0000-0200-000022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1" authorId="0" shapeId="0" xr:uid="{00000000-0006-0000-0200-000023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2" authorId="0" shapeId="0" xr:uid="{00000000-0006-0000-0200-000024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2" authorId="0" shapeId="0" xr:uid="{00000000-0006-0000-0200-000025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3" authorId="0" shapeId="0" xr:uid="{00000000-0006-0000-0200-000026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3" authorId="0" shapeId="0" xr:uid="{00000000-0006-0000-0200-000027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4" authorId="0" shapeId="0" xr:uid="{00000000-0006-0000-0200-000028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4" authorId="0" shapeId="0" xr:uid="{00000000-0006-0000-0200-0000290000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115" authorId="0" shapeId="0" xr:uid="{00000000-0006-0000-0200-00002A000000}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C122" authorId="0" shapeId="0" xr:uid="{A55E15A1-65FE-4AC9-81CC-0C1CC216CB4F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2" authorId="0" shapeId="0" xr:uid="{285F30CA-D612-43AE-8CA3-580EB2F276AF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3" authorId="0" shapeId="0" xr:uid="{5F557EAB-C382-4873-807E-0A24026F785C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3" authorId="0" shapeId="0" xr:uid="{DFBD0CE6-7DFE-4ABF-9701-C4272A2626D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4" authorId="0" shapeId="0" xr:uid="{EE27AC2F-3BD8-4D67-856B-714FE81E7E6B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4" authorId="0" shapeId="0" xr:uid="{C099C2EA-DA14-40B7-B2E2-F92ECACF69F7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5" authorId="0" shapeId="0" xr:uid="{CDAC89D2-F80F-47DE-83D5-CD96F1906CAC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5" authorId="0" shapeId="0" xr:uid="{5F253EBB-EBC7-4A17-82BA-37B5A37D8665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6" authorId="0" shapeId="0" xr:uid="{BEE56459-AB5C-4747-A4B5-535FC32C7086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6" authorId="0" shapeId="0" xr:uid="{4A850204-0915-4668-AF7A-CCEE7540D6F7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7" authorId="0" shapeId="0" xr:uid="{00000000-0006-0000-0200-00003000000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7" authorId="0" shapeId="0" xr:uid="{35C83057-9439-4DB1-A9CD-A87468DC0FC3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128" authorId="0" shapeId="0" xr:uid="{00000000-0006-0000-0200-000031000000}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D140" authorId="0" shapeId="0" xr:uid="{00000000-0006-0000-0200-000032000000}">
      <text>
        <r>
          <rPr>
            <sz val="9"/>
            <rFont val="Tahoma"/>
            <family val="2"/>
          </rPr>
          <t>Informar o preço unitário do chassis do caminhão de coleta</t>
        </r>
      </text>
    </comment>
    <comment ref="C141" authorId="0" shapeId="0" xr:uid="{00000000-0006-0000-0200-000033000000}">
      <text>
        <r>
          <rPr>
            <sz val="9"/>
            <rFont val="Tahoma"/>
            <family val="2"/>
          </rPr>
          <t>Informar a vida útil estimada para o caminhão, em anos</t>
        </r>
      </text>
    </comment>
    <comment ref="C142" authorId="0" shapeId="0" xr:uid="{00000000-0006-0000-0200-000034000000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43" authorId="0" shapeId="0" xr:uid="{00000000-0006-0000-0200-000035000000}">
      <text>
        <r>
          <rPr>
            <b/>
            <sz val="9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D145" authorId="0" shapeId="0" xr:uid="{00000000-0006-0000-0200-000036000000}">
      <text>
        <r>
          <rPr>
            <sz val="9"/>
            <rFont val="Tahoma"/>
            <family val="2"/>
          </rPr>
          <t xml:space="preserve">Informar o preço unitário do equipamento compactador
</t>
        </r>
      </text>
    </comment>
    <comment ref="C146" authorId="0" shapeId="0" xr:uid="{00000000-0006-0000-0200-000037000000}">
      <text>
        <r>
          <rPr>
            <sz val="9"/>
            <rFont val="Tahoma"/>
            <family val="2"/>
          </rPr>
          <t>Informar a vida útil estimada para o compactador, em anos</t>
        </r>
      </text>
    </comment>
    <comment ref="C147" authorId="0" shapeId="0" xr:uid="{00000000-0006-0000-0200-000038000000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48" authorId="0" shapeId="0" xr:uid="{00000000-0006-0000-0200-000039000000}">
      <text>
        <r>
          <rPr>
            <b/>
            <sz val="9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C151" authorId="0" shapeId="0" xr:uid="{00000000-0006-0000-0200-00003A000000}">
      <text>
        <r>
          <rPr>
            <sz val="9"/>
            <rFont val="Tahoma"/>
            <family val="2"/>
          </rPr>
          <t>Informar a quantidade de caminhões compactadores do respectivo modelo</t>
        </r>
      </text>
    </comment>
    <comment ref="C157" authorId="0" shapeId="0" xr:uid="{00000000-0006-0000-0200-00003B000000}">
      <text>
        <r>
          <rPr>
            <b/>
            <sz val="9"/>
            <rFont val="Tahoma"/>
            <family val="2"/>
          </rPr>
          <t>Informar a taxa de juros anual para remuneração do capital. Recomenda-se o uso da Taxa SELIC</t>
        </r>
        <r>
          <rPr>
            <sz val="9"/>
            <rFont val="Tahoma"/>
            <family val="2"/>
          </rPr>
          <t xml:space="preserve">
</t>
        </r>
      </text>
    </comment>
    <comment ref="D173" authorId="0" shapeId="0" xr:uid="{9C68EE2B-7900-4B7F-84FA-3C3681F54FA1}">
      <text>
        <r>
          <rPr>
            <sz val="9"/>
            <rFont val="Tahoma"/>
            <family val="2"/>
          </rPr>
          <t xml:space="preserve">Informar o valor do seguro obrigatório e licenciamento anual de um caminhão
</t>
        </r>
      </text>
    </comment>
    <comment ref="D174" authorId="0" shapeId="0" xr:uid="{FABF1E53-4CFF-4EFB-A089-AE3C997DBC8D}">
      <text>
        <r>
          <rPr>
            <sz val="9"/>
            <rFont val="Tahoma"/>
            <family val="2"/>
          </rPr>
          <t xml:space="preserve">Informar o valor do seguro contra terceiros de um caminhão, se houver
</t>
        </r>
      </text>
    </comment>
    <comment ref="B180" authorId="0" shapeId="0" xr:uid="{00000000-0006-0000-0200-00003E000000}">
      <text>
        <r>
          <rPr>
            <sz val="9"/>
            <rFont val="Tahoma"/>
            <family val="2"/>
          </rPr>
          <t xml:space="preserve">Informar a quilometragem mensal percorrida, de acordo com o projeto básico
</t>
        </r>
      </text>
    </comment>
    <comment ref="C183" authorId="0" shapeId="0" xr:uid="{00000000-0006-0000-0200-00003F000000}">
      <text>
        <r>
          <rPr>
            <sz val="9"/>
            <rFont val="Tahoma"/>
            <family val="2"/>
          </rPr>
          <t>Informar o consumo estimado do veículo em km/l</t>
        </r>
      </text>
    </comment>
    <comment ref="D183" authorId="0" shapeId="0" xr:uid="{00000000-0006-0000-0200-000040000000}">
      <text>
        <r>
          <rPr>
            <sz val="9"/>
            <rFont val="Tahoma"/>
            <family val="2"/>
          </rPr>
          <t xml:space="preserve">Informar o preço unitário do combustivel
</t>
        </r>
      </text>
    </comment>
    <comment ref="C185" authorId="0" shapeId="0" xr:uid="{00000000-0006-0000-0200-000041000000}">
      <text>
        <r>
          <rPr>
            <sz val="9"/>
            <rFont val="Tahoma"/>
            <family val="2"/>
          </rPr>
          <t>Informar o consumo de óleo do motor a cada 1000km</t>
        </r>
      </text>
    </comment>
    <comment ref="D185" authorId="0" shapeId="0" xr:uid="{00000000-0006-0000-0200-000042000000}">
      <text>
        <r>
          <rPr>
            <sz val="9"/>
            <rFont val="Tahoma"/>
            <family val="2"/>
          </rPr>
          <t xml:space="preserve">Informar o preço unitário do litro do óleo do motor
</t>
        </r>
      </text>
    </comment>
    <comment ref="C187" authorId="0" shapeId="0" xr:uid="{00000000-0006-0000-0200-000043000000}">
      <text>
        <r>
          <rPr>
            <sz val="9"/>
            <rFont val="Tahoma"/>
            <family val="2"/>
          </rPr>
          <t>Informar o consumo de óleo da transmissão a cada 1000km</t>
        </r>
      </text>
    </comment>
    <comment ref="D187" authorId="0" shapeId="0" xr:uid="{00000000-0006-0000-0200-000044000000}">
      <text>
        <r>
          <rPr>
            <sz val="9"/>
            <rFont val="Tahoma"/>
            <family val="2"/>
          </rPr>
          <t xml:space="preserve">Informar o preço unitário do litro do óleo da transmissão
</t>
        </r>
      </text>
    </comment>
    <comment ref="C189" authorId="0" shapeId="0" xr:uid="{00000000-0006-0000-0200-000045000000}">
      <text>
        <r>
          <rPr>
            <sz val="9"/>
            <rFont val="Tahoma"/>
            <family val="2"/>
          </rPr>
          <t>Informar o consumo de óleo hidráulico a cada 1000km</t>
        </r>
      </text>
    </comment>
    <comment ref="D189" authorId="0" shapeId="0" xr:uid="{00000000-0006-0000-0200-000046000000}">
      <text>
        <r>
          <rPr>
            <sz val="9"/>
            <rFont val="Tahoma"/>
            <family val="2"/>
          </rPr>
          <t xml:space="preserve">Informar o preço unitário do litro do óleo hidráulico
</t>
        </r>
      </text>
    </comment>
    <comment ref="C191" authorId="0" shapeId="0" xr:uid="{00000000-0006-0000-0200-000047000000}">
      <text>
        <r>
          <rPr>
            <sz val="9"/>
            <rFont val="Tahoma"/>
            <family val="2"/>
          </rPr>
          <t>Informar o consumo de graxa a cada 1000km</t>
        </r>
      </text>
    </comment>
    <comment ref="D191" authorId="0" shapeId="0" xr:uid="{00000000-0006-0000-0200-000048000000}">
      <text>
        <r>
          <rPr>
            <sz val="9"/>
            <rFont val="Tahoma"/>
            <family val="2"/>
          </rPr>
          <t xml:space="preserve">Informar o preço unitário do litro da graxa
</t>
        </r>
      </text>
    </comment>
    <comment ref="D198" authorId="0" shapeId="0" xr:uid="{00000000-0006-0000-0200-000049000000}">
      <text>
        <r>
          <rPr>
            <sz val="9"/>
            <rFont val="Tahoma"/>
            <family val="2"/>
          </rPr>
          <t xml:space="preserve">Informar o custo de manutenção em R$/km rodado
</t>
        </r>
      </text>
    </comment>
    <comment ref="C203" authorId="0" shapeId="0" xr:uid="{00000000-0006-0000-0200-00004A000000}">
      <text>
        <r>
          <rPr>
            <sz val="9"/>
            <rFont val="Tahoma"/>
            <family val="2"/>
          </rPr>
          <t>Informar a quantidade de pneus novos de 1 caminhão</t>
        </r>
      </text>
    </comment>
    <comment ref="D203" authorId="0" shapeId="0" xr:uid="{00000000-0006-0000-0200-00004B000000}">
      <text>
        <r>
          <rPr>
            <sz val="9"/>
            <rFont val="Tahoma"/>
            <family val="2"/>
          </rPr>
          <t xml:space="preserve">Informar o preço unitário de cada pneu
</t>
        </r>
      </text>
    </comment>
    <comment ref="C204" authorId="0" shapeId="0" xr:uid="{00000000-0006-0000-0200-00004C000000}">
      <text>
        <r>
          <rPr>
            <sz val="9"/>
            <rFont val="Tahoma"/>
            <family val="2"/>
          </rPr>
          <t>Informar o número de recapagens por pneu</t>
        </r>
      </text>
    </comment>
    <comment ref="D205" authorId="0" shapeId="0" xr:uid="{00000000-0006-0000-0200-00004D000000}">
      <text>
        <r>
          <rPr>
            <sz val="9"/>
            <rFont val="Tahoma"/>
            <family val="2"/>
          </rPr>
          <t xml:space="preserve">Informar o preço unitário de cada recapagem
</t>
        </r>
      </text>
    </comment>
    <comment ref="C206" authorId="0" shapeId="0" xr:uid="{00000000-0006-0000-0200-00004E000000}">
      <text>
        <r>
          <rPr>
            <sz val="9"/>
            <rFont val="Tahoma"/>
            <family val="2"/>
          </rPr>
          <t xml:space="preserve">Informar a durabilidade média dos pneus considerando as recapagens, em km
</t>
        </r>
      </text>
    </comment>
    <comment ref="C216" authorId="0" shapeId="0" xr:uid="{00000000-0006-0000-0200-00004F000000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6" authorId="0" shapeId="0" xr:uid="{00000000-0006-0000-0200-000050000000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17" authorId="0" shapeId="0" xr:uid="{00000000-0006-0000-0200-000051000000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7" authorId="0" shapeId="0" xr:uid="{00000000-0006-0000-0200-000052000000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18" authorId="0" shapeId="0" xr:uid="{00000000-0006-0000-0200-000053000000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8" authorId="0" shapeId="0" xr:uid="{00000000-0006-0000-0200-000054000000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A223" authorId="0" shapeId="0" xr:uid="{00000000-0006-0000-0200-000055000000}">
      <text>
        <r>
          <rPr>
            <b/>
            <sz val="9"/>
            <rFont val="Tahoma"/>
            <family val="2"/>
          </rPr>
          <t>Especificar somente quando for exigido no Projeto Básico</t>
        </r>
        <r>
          <rPr>
            <sz val="9"/>
            <rFont val="Tahoma"/>
            <family val="2"/>
          </rPr>
          <t xml:space="preserve">
</t>
        </r>
      </text>
    </comment>
    <comment ref="D226" authorId="0" shapeId="0" xr:uid="{00000000-0006-0000-0200-000056000000}">
      <text>
        <r>
          <rPr>
            <sz val="9"/>
            <rFont val="Tahoma"/>
            <family val="2"/>
          </rPr>
          <t>Informar o valor total para instalação do equipamento de monitoramento da frota, se houver</t>
        </r>
      </text>
    </comment>
    <comment ref="D228" authorId="0" shapeId="0" xr:uid="{00000000-0006-0000-0200-000057000000}">
      <text>
        <r>
          <rPr>
            <sz val="9"/>
            <rFont val="Tahoma"/>
            <family val="2"/>
          </rPr>
          <t>Informar o valor unitário mensal para manutenção dos equipamentos de monitoramento</t>
        </r>
      </text>
    </comment>
    <comment ref="C239" authorId="0" shapeId="0" xr:uid="{00000000-0006-0000-0200-000058000000}">
      <text>
        <r>
          <rPr>
            <sz val="9"/>
            <rFont val="Tahoma"/>
            <family val="2"/>
          </rPr>
          <t>Preencher a aba 4.BDI</t>
        </r>
      </text>
    </comment>
    <comment ref="D249" authorId="0" shapeId="0" xr:uid="{00000000-0006-0000-0200-000059000000}">
      <text>
        <r>
          <rPr>
            <sz val="9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/>
  </authors>
  <commentList>
    <comment ref="A16" authorId="0" shapeId="0" xr:uid="{00000000-0006-0000-0300-000001000000}">
      <text>
        <r>
          <rPr>
            <sz val="9"/>
            <rFont val="Tahoma"/>
            <family val="2"/>
          </rPr>
          <t xml:space="preserve">Qualquer custo previsto no edital e não contemplado nesta planilha modelo deverá ser devidamente incluído
</t>
        </r>
      </text>
    </comment>
    <comment ref="B49" authorId="0" shapeId="0" xr:uid="{00000000-0006-0000-0300-000002000000}">
      <text>
        <r>
          <rPr>
            <b/>
            <sz val="9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rFont val="Tahoma"/>
            <family val="2"/>
          </rPr>
          <t xml:space="preserve">
</t>
        </r>
      </text>
    </comment>
    <comment ref="D55" authorId="0" shapeId="0" xr:uid="{00000000-0006-0000-0300-000003000000}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56" authorId="0" shapeId="0" xr:uid="{02FEF094-99E8-41D5-BD1F-5ACDEE1B5707}">
      <text>
        <r>
          <rPr>
            <sz val="9"/>
            <rFont val="Tahoma"/>
            <family val="2"/>
          </rPr>
          <t>Informar o valor do salário Mínimo Nacional</t>
        </r>
      </text>
    </comment>
    <comment ref="C57" authorId="0" shapeId="0" xr:uid="{10E0EECA-518B-4AA6-8F19-2A76BFE56E7F}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0" authorId="0" shapeId="0" xr:uid="{00000000-0006-0000-0300-000006000000}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62" authorId="0" shapeId="0" xr:uid="{00000000-0006-0000-0300-000007000000}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68" authorId="0" shapeId="0" xr:uid="{00000000-0006-0000-0300-000008000000}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69" authorId="0" shapeId="0" xr:uid="{00000000-0006-0000-0300-000009000000}">
      <text>
        <r>
          <rPr>
            <sz val="9"/>
            <rFont val="Tahoma"/>
            <family val="2"/>
          </rPr>
          <t>Informar o valor do salário Mínimo Nacional</t>
        </r>
      </text>
    </comment>
    <comment ref="C70" authorId="0" shapeId="0" xr:uid="{00000000-0006-0000-0300-00000A000000}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1" authorId="0" shapeId="0" xr:uid="{00000000-0006-0000-0300-00000B000000}">
      <text>
        <r>
          <rPr>
            <sz val="9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3" authorId="0" shapeId="0" xr:uid="{00000000-0006-0000-0300-00000C000000}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75" authorId="0" shapeId="0" xr:uid="{00000000-0006-0000-0300-00000D000000}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80" authorId="0" shapeId="0" xr:uid="{13D71C06-7414-4FF5-81A1-B86DBDDE2144}">
      <text>
        <r>
          <rPr>
            <sz val="9"/>
            <rFont val="Tahoma"/>
            <family val="2"/>
          </rPr>
          <t>Informar o valor unitário do VT no município</t>
        </r>
      </text>
    </comment>
    <comment ref="C81" authorId="0" shapeId="0" xr:uid="{B646EB9F-205A-4BAB-813E-AA991266D923}">
      <text>
        <r>
          <rPr>
            <sz val="9"/>
            <rFont val="Tahoma"/>
            <family val="2"/>
          </rPr>
          <t>Informar o número médio de dias trabalhados por mês</t>
        </r>
      </text>
    </comment>
    <comment ref="D82" authorId="1" shapeId="0" xr:uid="{A9BDD73F-AA62-44EE-A5A5-1916380692E2}">
      <text>
        <r>
          <rPr>
            <sz val="10"/>
            <color rgb="FF000000"/>
            <rFont val="Calibri"/>
            <family val="2"/>
            <scheme val="minor"/>
          </rPr>
          <t>======
ID#AAAAoDJFF8k
Clauber Bridi    (2023-01-16 19:48:33)
Valor Unitário considerando o desconto legal de até 6% do salário</t>
        </r>
      </text>
    </comment>
    <comment ref="D83" authorId="1" shapeId="0" xr:uid="{269FA484-4B07-4A15-A381-51D5A514E8B9}">
      <text>
        <r>
          <rPr>
            <sz val="10"/>
            <color rgb="FF000000"/>
            <rFont val="Calibri"/>
            <family val="2"/>
            <scheme val="minor"/>
          </rPr>
          <t>======
ID#AAAAoDJFF8k
Clauber Bridi    (2023-01-16 19:48:33)
Valor Unitário considerando o desconto legal de até 6% do salário</t>
        </r>
      </text>
    </comment>
    <comment ref="D88" authorId="0" shapeId="0" xr:uid="{00000000-0006-0000-0300-000012000000}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89" authorId="0" shapeId="0" xr:uid="{00000000-0006-0000-0300-000013000000}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94" authorId="0" shapeId="0" xr:uid="{C0C3E59A-4F5F-4F08-B7C4-F0D4C0A750CE}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D95" authorId="0" shapeId="0" xr:uid="{00000000-0006-0000-0300-000015000000}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C105" authorId="0" shapeId="0" xr:uid="{9F02B717-3164-49F8-8524-D691BEF0B067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5" authorId="0" shapeId="0" xr:uid="{0865BE15-AC28-48C1-A77C-3CA6A56011CA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6" authorId="0" shapeId="0" xr:uid="{0C932A84-109A-4A8B-8D54-764CC1B7F1AD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6" authorId="0" shapeId="0" xr:uid="{901A9784-06F4-4FA4-A382-C0DFE5CB16A4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7" authorId="0" shapeId="0" xr:uid="{E875EC81-403E-4789-A69C-139CA310512F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7" authorId="0" shapeId="0" xr:uid="{6C18B0E9-5662-413C-A206-64C1F8E1AE4F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8" authorId="0" shapeId="0" xr:uid="{6F244A38-DEB1-4591-86BB-656CB9C7BA7F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8" authorId="0" shapeId="0" xr:uid="{73957E3B-2DCA-4138-BD18-03B7D89AFCF3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9" authorId="0" shapeId="0" xr:uid="{43846954-D854-4161-BC2A-BA7BC9D486D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9" authorId="0" shapeId="0" xr:uid="{04461D57-CD36-457A-BB87-834DA415DAC2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0" authorId="0" shapeId="0" xr:uid="{72B3CB87-F6CE-41DA-BE41-2FCF5ABC6823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0" authorId="0" shapeId="0" xr:uid="{9F8073B5-DB64-47C8-8660-439005AB8E77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1" authorId="0" shapeId="0" xr:uid="{53C5CDA8-F5BA-499C-92EE-CA405F1F18BC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1" authorId="0" shapeId="0" xr:uid="{7191932A-C65D-4E9F-B9FF-1E6811B81437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2" authorId="0" shapeId="0" xr:uid="{6B410F49-917B-4D29-A6BE-957575D4C2E5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2" authorId="0" shapeId="0" xr:uid="{2C28B379-AF36-4474-9EEC-0B9CF74BCDCB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3" authorId="0" shapeId="0" xr:uid="{0E2FB62E-24C0-4562-A82F-D8CF67A0B683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3" authorId="0" shapeId="0" xr:uid="{A5CF5AE8-7CC0-4FCF-9A62-D1DECF343359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4" authorId="0" shapeId="0" xr:uid="{B50E9AD6-3012-4B7F-8621-CA84EE991992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4" authorId="0" shapeId="0" xr:uid="{AF4EA357-87F8-457A-A12E-9F54FF0F0EDE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115" authorId="0" shapeId="0" xr:uid="{2303C109-64FE-4A92-880F-211BE9DF8140}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C122" authorId="0" shapeId="0" xr:uid="{8F426035-C314-48BB-BC03-0561529269F2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2" authorId="0" shapeId="0" xr:uid="{9E0B48B2-A169-4C8B-B4BF-6974295FE9A7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3" authorId="0" shapeId="0" xr:uid="{71022006-5094-4DDF-AAC6-BA82EB1AD53E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3" authorId="0" shapeId="0" xr:uid="{BFC824E7-24FC-49BB-B7FD-E45078EEFBFA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4" authorId="0" shapeId="0" xr:uid="{AF588C77-1616-4A52-9515-F9B87F3523DE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4" authorId="0" shapeId="0" xr:uid="{68DF8315-F3B3-4523-9283-F496B28D4473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5" authorId="0" shapeId="0" xr:uid="{956DCC6E-1A3F-45AE-82D8-E6187274E627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5" authorId="0" shapeId="0" xr:uid="{73CB2500-50B9-4C52-8BAB-F7E0192E37C5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6" authorId="0" shapeId="0" xr:uid="{A3F98255-862C-42C8-8CCF-DE019A9C302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6" authorId="0" shapeId="0" xr:uid="{177E001A-90DB-49E1-AAD0-A8A58EABEF66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27" authorId="0" shapeId="0" xr:uid="{2DCF136A-0527-497D-AC7C-FD6E6411BCC1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27" authorId="0" shapeId="0" xr:uid="{E2F7E0E3-0C45-423F-AC17-B1F20B1A2B5A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128" authorId="0" shapeId="0" xr:uid="{7967D38E-4078-4F19-9343-58AA6B4A9CE8}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D140" authorId="0" shapeId="0" xr:uid="{BD372F6D-EAB7-4156-87EC-7E188388114F}">
      <text>
        <r>
          <rPr>
            <sz val="9"/>
            <rFont val="Tahoma"/>
            <family val="2"/>
          </rPr>
          <t>Informar o preço unitário do chassis do caminhão de coleta</t>
        </r>
      </text>
    </comment>
    <comment ref="C141" authorId="0" shapeId="0" xr:uid="{A41945ED-0441-423C-8F7C-820D0B0DD901}">
      <text>
        <r>
          <rPr>
            <sz val="9"/>
            <rFont val="Tahoma"/>
            <family val="2"/>
          </rPr>
          <t>Informar a vida útil estimada para o caminhão, em anos</t>
        </r>
      </text>
    </comment>
    <comment ref="C142" authorId="0" shapeId="0" xr:uid="{3FC78DEF-9537-4653-BF73-070FA4BD2604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43" authorId="0" shapeId="0" xr:uid="{8AC63C4E-0DD5-4417-85BA-FE490D8A06A8}">
      <text>
        <r>
          <rPr>
            <b/>
            <sz val="9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D145" authorId="0" shapeId="0" xr:uid="{F17B5C25-A4C4-4797-AD48-6C71307DAC58}">
      <text>
        <r>
          <rPr>
            <sz val="9"/>
            <rFont val="Tahoma"/>
            <family val="2"/>
          </rPr>
          <t xml:space="preserve">Informar o preço unitário do equipamento compactador
</t>
        </r>
      </text>
    </comment>
    <comment ref="C146" authorId="0" shapeId="0" xr:uid="{212C6B43-7038-4427-B350-0C6C5382D567}">
      <text>
        <r>
          <rPr>
            <sz val="9"/>
            <rFont val="Tahoma"/>
            <family val="2"/>
          </rPr>
          <t>Informar a vida útil estimada para o compactador, em anos</t>
        </r>
      </text>
    </comment>
    <comment ref="C147" authorId="0" shapeId="0" xr:uid="{42BCAB76-4999-4368-8E1E-147477C4ACA7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48" authorId="0" shapeId="0" xr:uid="{7DBF5E24-C2A7-4130-863F-F8BB146319DA}">
      <text>
        <r>
          <rPr>
            <b/>
            <sz val="9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C151" authorId="0" shapeId="0" xr:uid="{2F6AA3BA-C643-4C87-A379-18082068EE22}">
      <text>
        <r>
          <rPr>
            <sz val="9"/>
            <rFont val="Tahoma"/>
            <family val="2"/>
          </rPr>
          <t>Informar a quantidade de caminhões compactadores do respectivo modelo</t>
        </r>
      </text>
    </comment>
    <comment ref="C157" authorId="0" shapeId="0" xr:uid="{8609FCAE-124B-4B84-A49F-4AB13C227E59}">
      <text>
        <r>
          <rPr>
            <b/>
            <sz val="9"/>
            <rFont val="Tahoma"/>
            <family val="2"/>
          </rPr>
          <t>Informar a taxa de juros anual para remuneração do capital. Recomenda-se o uso da Taxa SELIC</t>
        </r>
        <r>
          <rPr>
            <sz val="9"/>
            <rFont val="Tahoma"/>
            <family val="2"/>
          </rPr>
          <t xml:space="preserve">
</t>
        </r>
      </text>
    </comment>
    <comment ref="D173" authorId="0" shapeId="0" xr:uid="{00000000-0006-0000-0300-00003C000000}">
      <text>
        <r>
          <rPr>
            <sz val="9"/>
            <rFont val="Tahoma"/>
            <family val="2"/>
          </rPr>
          <t xml:space="preserve">Informar o valor do seguro obrigatório e licenciamento anual de um caminhão
</t>
        </r>
      </text>
    </comment>
    <comment ref="D174" authorId="0" shapeId="0" xr:uid="{00000000-0006-0000-0300-00003D000000}">
      <text>
        <r>
          <rPr>
            <sz val="9"/>
            <rFont val="Tahoma"/>
            <family val="2"/>
          </rPr>
          <t xml:space="preserve">Informar o valor do seguro contra terceiros de um caminhão, se houver
</t>
        </r>
      </text>
    </comment>
    <comment ref="B180" authorId="0" shapeId="0" xr:uid="{00000000-0006-0000-0300-00003E000000}">
      <text>
        <r>
          <rPr>
            <sz val="9"/>
            <rFont val="Tahoma"/>
            <family val="2"/>
          </rPr>
          <t xml:space="preserve">Informar a quilometragem mensal percorrida, de acordo com o projeto básico
</t>
        </r>
      </text>
    </comment>
    <comment ref="C183" authorId="0" shapeId="0" xr:uid="{D251A40D-0C1F-40E8-89F7-9725895EC50D}">
      <text>
        <r>
          <rPr>
            <sz val="9"/>
            <rFont val="Tahoma"/>
            <family val="2"/>
          </rPr>
          <t>Informar o consumo estimado do veículo em km/l</t>
        </r>
      </text>
    </comment>
    <comment ref="D183" authorId="0" shapeId="0" xr:uid="{DBDD1DC6-E377-4F62-A8A3-045F031BF8F3}">
      <text>
        <r>
          <rPr>
            <sz val="9"/>
            <rFont val="Tahoma"/>
            <family val="2"/>
          </rPr>
          <t xml:space="preserve">Informar o preço unitário do combustivel
</t>
        </r>
      </text>
    </comment>
    <comment ref="C185" authorId="0" shapeId="0" xr:uid="{FC25895A-792C-401B-9590-C13003874D3B}">
      <text>
        <r>
          <rPr>
            <sz val="9"/>
            <rFont val="Tahoma"/>
            <family val="2"/>
          </rPr>
          <t>Informar o consumo de óleo do motor a cada 1000km</t>
        </r>
      </text>
    </comment>
    <comment ref="D185" authorId="0" shapeId="0" xr:uid="{A62785F5-2D4D-4278-B6CD-76691F9F8E79}">
      <text>
        <r>
          <rPr>
            <sz val="9"/>
            <rFont val="Tahoma"/>
            <family val="2"/>
          </rPr>
          <t xml:space="preserve">Informar o preço unitário do litro do óleo do motor
</t>
        </r>
      </text>
    </comment>
    <comment ref="C187" authorId="0" shapeId="0" xr:uid="{FBB48D6D-BFE9-4D1B-B838-AE6EFCAB283B}">
      <text>
        <r>
          <rPr>
            <sz val="9"/>
            <rFont val="Tahoma"/>
            <family val="2"/>
          </rPr>
          <t>Informar o consumo de óleo da transmissão a cada 1000km</t>
        </r>
      </text>
    </comment>
    <comment ref="D187" authorId="0" shapeId="0" xr:uid="{03482212-A4AF-449C-A8B4-03F322CA3011}">
      <text>
        <r>
          <rPr>
            <sz val="9"/>
            <rFont val="Tahoma"/>
            <family val="2"/>
          </rPr>
          <t xml:space="preserve">Informar o preço unitário do litro do óleo da transmissão
</t>
        </r>
      </text>
    </comment>
    <comment ref="C189" authorId="0" shapeId="0" xr:uid="{5BC72157-B266-458E-9B7F-68A890EF1018}">
      <text>
        <r>
          <rPr>
            <sz val="9"/>
            <rFont val="Tahoma"/>
            <family val="2"/>
          </rPr>
          <t>Informar o consumo de óleo hidráulico a cada 1000km</t>
        </r>
      </text>
    </comment>
    <comment ref="D189" authorId="0" shapeId="0" xr:uid="{8243D724-AEB5-4BA6-9ECD-75E508A260A8}">
      <text>
        <r>
          <rPr>
            <sz val="9"/>
            <rFont val="Tahoma"/>
            <family val="2"/>
          </rPr>
          <t xml:space="preserve">Informar o preço unitário do litro do óleo hidráulico
</t>
        </r>
      </text>
    </comment>
    <comment ref="C191" authorId="0" shapeId="0" xr:uid="{94A5AC46-00AB-439A-9006-C4AE51973AFB}">
      <text>
        <r>
          <rPr>
            <sz val="9"/>
            <rFont val="Tahoma"/>
            <family val="2"/>
          </rPr>
          <t>Informar o consumo de graxa a cada 1000km</t>
        </r>
      </text>
    </comment>
    <comment ref="D191" authorId="0" shapeId="0" xr:uid="{36F43A54-4710-4CC1-9619-80BF6B5DA7BF}">
      <text>
        <r>
          <rPr>
            <sz val="9"/>
            <rFont val="Tahoma"/>
            <family val="2"/>
          </rPr>
          <t xml:space="preserve">Informar o preço unitário do litro da graxa
</t>
        </r>
      </text>
    </comment>
    <comment ref="D198" authorId="0" shapeId="0" xr:uid="{00000000-0006-0000-0300-000049000000}">
      <text>
        <r>
          <rPr>
            <sz val="9"/>
            <rFont val="Tahoma"/>
            <family val="2"/>
          </rPr>
          <t xml:space="preserve">Informar o custo de manutenção em R$/km rodado
</t>
        </r>
      </text>
    </comment>
    <comment ref="C203" authorId="0" shapeId="0" xr:uid="{A51D63AA-F9AD-46E9-A42B-4767F591B8F2}">
      <text>
        <r>
          <rPr>
            <sz val="9"/>
            <rFont val="Tahoma"/>
            <family val="2"/>
          </rPr>
          <t>Informar a quantidade de pneus novos de 1 caminhão</t>
        </r>
      </text>
    </comment>
    <comment ref="D203" authorId="0" shapeId="0" xr:uid="{FA252052-BBFA-4EF1-8F60-E06DB1E5B144}">
      <text>
        <r>
          <rPr>
            <sz val="9"/>
            <rFont val="Tahoma"/>
            <family val="2"/>
          </rPr>
          <t xml:space="preserve">Informar o preço unitário de cada pneu
</t>
        </r>
      </text>
    </comment>
    <comment ref="C204" authorId="0" shapeId="0" xr:uid="{A2C19E0C-2DEA-4F27-8CF2-D9313638479A}">
      <text>
        <r>
          <rPr>
            <sz val="9"/>
            <rFont val="Tahoma"/>
            <family val="2"/>
          </rPr>
          <t>Informar o número de recapagens por pneu</t>
        </r>
      </text>
    </comment>
    <comment ref="D205" authorId="0" shapeId="0" xr:uid="{1A8AFD67-CD3D-4F37-AA55-0E0F0082DB74}">
      <text>
        <r>
          <rPr>
            <sz val="9"/>
            <rFont val="Tahoma"/>
            <family val="2"/>
          </rPr>
          <t xml:space="preserve">Informar o preço unitário de cada recapagem
</t>
        </r>
      </text>
    </comment>
    <comment ref="C206" authorId="0" shapeId="0" xr:uid="{7C4CE46E-152B-4DFE-BD26-C66EFE0CE14F}">
      <text>
        <r>
          <rPr>
            <sz val="9"/>
            <rFont val="Tahoma"/>
            <family val="2"/>
          </rPr>
          <t xml:space="preserve">Informar a durabilidade média dos pneus considerando as recapagens, em km
</t>
        </r>
      </text>
    </comment>
    <comment ref="C216" authorId="0" shapeId="0" xr:uid="{CEC63599-A082-411E-80EE-4275F37D130C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6" authorId="0" shapeId="0" xr:uid="{F0751374-E61C-4940-AE6A-B776472AB5BB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17" authorId="0" shapeId="0" xr:uid="{7614094F-12AB-487C-8BCE-00F6FBF0C4F7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7" authorId="0" shapeId="0" xr:uid="{0BEA1352-E503-4ACF-8F57-A668C2393F33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18" authorId="0" shapeId="0" xr:uid="{A227CDD2-0DF0-4922-AF86-3803C323F3E3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8" authorId="0" shapeId="0" xr:uid="{F1895B39-005C-4A41-B60E-264BEF6D0012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A223" authorId="0" shapeId="0" xr:uid="{00000000-0006-0000-0300-000055000000}">
      <text>
        <r>
          <rPr>
            <b/>
            <sz val="9"/>
            <rFont val="Tahoma"/>
            <family val="2"/>
          </rPr>
          <t>Especificar somente quando for exigido no Projeto Básico</t>
        </r>
        <r>
          <rPr>
            <sz val="9"/>
            <rFont val="Tahoma"/>
            <family val="2"/>
          </rPr>
          <t xml:space="preserve">
</t>
        </r>
      </text>
    </comment>
    <comment ref="D226" authorId="0" shapeId="0" xr:uid="{00000000-0006-0000-0300-000056000000}">
      <text>
        <r>
          <rPr>
            <sz val="9"/>
            <rFont val="Tahoma"/>
            <family val="2"/>
          </rPr>
          <t>Informar o valor total para instalação do equipamento de monitoramento da frota, se houver</t>
        </r>
      </text>
    </comment>
    <comment ref="D228" authorId="0" shapeId="0" xr:uid="{00000000-0006-0000-0300-000057000000}">
      <text>
        <r>
          <rPr>
            <sz val="9"/>
            <rFont val="Tahoma"/>
            <family val="2"/>
          </rPr>
          <t>Informar o valor unitário mensal para manutenção dos equipamentos de monitoramento</t>
        </r>
      </text>
    </comment>
    <comment ref="C239" authorId="0" shapeId="0" xr:uid="{00000000-0006-0000-0300-000058000000}">
      <text>
        <r>
          <rPr>
            <sz val="9"/>
            <rFont val="Tahoma"/>
            <family val="2"/>
          </rPr>
          <t>Preencher a aba 4.BDI</t>
        </r>
      </text>
    </comment>
    <comment ref="D247" authorId="0" shapeId="0" xr:uid="{00000000-0006-0000-0300-000059000000}">
      <text>
        <r>
          <rPr>
            <sz val="9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0" authorId="0" shapeId="0" xr:uid="{00000000-0006-0000-0400-000001000000}">
      <text>
        <r>
          <rPr>
            <sz val="9"/>
            <rFont val="Tahoma"/>
            <family val="2"/>
          </rPr>
          <t xml:space="preserve">Qualquer custo previsto no edital e não contemplado nesta planilha modelo deverá ser devidamente incluído
</t>
        </r>
      </text>
    </comment>
    <comment ref="B25" authorId="0" shapeId="0" xr:uid="{00000000-0006-0000-0400-000002000000}">
      <text>
        <r>
          <rPr>
            <b/>
            <sz val="9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rFont val="Tahoma"/>
            <family val="2"/>
          </rPr>
          <t xml:space="preserve">
</t>
        </r>
      </text>
    </comment>
    <comment ref="D34" authorId="0" shapeId="0" xr:uid="{00000000-0006-0000-0400-000015000000}">
      <text>
        <r>
          <rPr>
            <sz val="9"/>
            <rFont val="Tahoma"/>
            <family val="2"/>
          </rPr>
          <t>Informar o preço unitário do chassis do caminhão de coleta</t>
        </r>
      </text>
    </comment>
    <comment ref="C35" authorId="0" shapeId="0" xr:uid="{00000000-0006-0000-0400-000016000000}">
      <text>
        <r>
          <rPr>
            <sz val="9"/>
            <rFont val="Tahoma"/>
            <family val="2"/>
          </rPr>
          <t>Informar a vida útil estimada para o caminhão, em anos</t>
        </r>
      </text>
    </comment>
    <comment ref="C36" authorId="0" shapeId="0" xr:uid="{00000000-0006-0000-0400-000017000000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37" authorId="0" shapeId="0" xr:uid="{00000000-0006-0000-0400-000018000000}">
      <text>
        <r>
          <rPr>
            <b/>
            <sz val="9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C40" authorId="0" shapeId="0" xr:uid="{00000000-0006-0000-0400-00001D000000}">
      <text>
        <r>
          <rPr>
            <sz val="9"/>
            <rFont val="Tahoma"/>
            <family val="2"/>
          </rPr>
          <t>Informar a quantidade de caminhões compactadores do respectivo modelo</t>
        </r>
      </text>
    </comment>
    <comment ref="C46" authorId="0" shapeId="0" xr:uid="{00000000-0006-0000-0400-00001E000000}">
      <text>
        <r>
          <rPr>
            <b/>
            <sz val="9"/>
            <rFont val="Tahoma"/>
            <family val="2"/>
          </rPr>
          <t>Informar a taxa de juros anual para remuneração do capital. Recomenda-se o uso da Taxa SELIC</t>
        </r>
        <r>
          <rPr>
            <sz val="9"/>
            <rFont val="Tahoma"/>
            <family val="2"/>
          </rPr>
          <t xml:space="preserve">
</t>
        </r>
      </text>
    </comment>
    <comment ref="C63" authorId="0" shapeId="0" xr:uid="{00000000-0006-0000-0400-00003B000000}">
      <text>
        <r>
          <rPr>
            <sz val="9"/>
            <rFont val="Tahoma"/>
            <family val="2"/>
          </rPr>
          <t>Preencher a aba 4.BDI</t>
        </r>
      </text>
    </comment>
    <comment ref="D71" authorId="0" shapeId="0" xr:uid="{00000000-0006-0000-0400-00003C000000}">
      <text>
        <r>
          <rPr>
            <sz val="9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/>
  </authors>
  <commentList>
    <comment ref="A9" authorId="0" shapeId="0" xr:uid="{6A25486A-7430-4D0B-B6F4-1E59EEC7221F}">
      <text>
        <r>
          <rPr>
            <sz val="9"/>
            <rFont val="Tahoma"/>
            <family val="2"/>
          </rPr>
          <t xml:space="preserve">Qualquer custo previsto no edital e não contemplado nesta planilha modelo deverá ser devidamente incluído
</t>
        </r>
      </text>
    </comment>
    <comment ref="B43" authorId="1" shapeId="0" xr:uid="{314BA232-2AD5-4F66-A0B5-BF6E25980329}">
      <text>
        <r>
          <rPr>
            <sz val="10"/>
            <color rgb="FF000000"/>
            <rFont val="Calibri"/>
            <family val="2"/>
            <scheme val="minor"/>
          </rPr>
          <t>======
ID#AAAAoDJFF4E
Clauber Bridi    (2023-01-16 19:48:33)
Informar o fator de utilização das equipes de coleta. 
Por exemplo:
Equipes com utilização integral = 100%
Equipes com utilização parcial = n° horas trabalhadas por semana /44 horas</t>
        </r>
      </text>
    </comment>
    <comment ref="D49" authorId="0" shapeId="0" xr:uid="{5C78D0DB-CFEB-4566-9DB9-8B922F6EC10A}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50" authorId="0" shapeId="0" xr:uid="{2593ACBC-ED40-4918-ADFA-C9425D62A1C9}">
      <text>
        <r>
          <rPr>
            <sz val="9"/>
            <rFont val="Tahoma"/>
            <family val="2"/>
          </rPr>
          <t>Informar o valor do salário Mínimo Nacional</t>
        </r>
      </text>
    </comment>
    <comment ref="C51" authorId="0" shapeId="0" xr:uid="{E628147F-E972-40E4-A235-90653B48E19A}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54" authorId="0" shapeId="0" xr:uid="{4607B3B1-7978-4D03-894C-C5894BC9507D}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56" authorId="0" shapeId="0" xr:uid="{669CBF67-B0D4-47D6-AA74-5434E78CC204}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61" authorId="0" shapeId="0" xr:uid="{7E51EEB0-CF7D-42FA-80F4-DE57E5DB3ACD}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62" authorId="0" shapeId="0" xr:uid="{C5CC1C78-47E6-4C52-9C4E-D9B02A0980A5}">
      <text>
        <r>
          <rPr>
            <sz val="9"/>
            <rFont val="Tahoma"/>
            <family val="2"/>
          </rPr>
          <t>Informar o valor do salário Mínimo Nacional</t>
        </r>
      </text>
    </comment>
    <comment ref="C63" authorId="0" shapeId="0" xr:uid="{0C7200AC-DC54-4D78-8877-7B27C959A49B}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4" authorId="0" shapeId="0" xr:uid="{A69CF7E9-FAD1-4952-B61D-83D2EBACF1F9}">
      <text>
        <r>
          <rPr>
            <sz val="9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66" authorId="0" shapeId="0" xr:uid="{19220268-FFC0-4125-82C4-FE55DEE77242}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68" authorId="0" shapeId="0" xr:uid="{D532E01E-4A3A-45CE-A9C8-820EED442276}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73" authorId="0" shapeId="0" xr:uid="{78CBBDFA-56E9-413B-ABC6-F889A5A5FBD7}">
      <text>
        <r>
          <rPr>
            <sz val="9"/>
            <rFont val="Tahoma"/>
            <family val="2"/>
          </rPr>
          <t>Informar o valor unitário do VT no município</t>
        </r>
      </text>
    </comment>
    <comment ref="C74" authorId="0" shapeId="0" xr:uid="{F454E134-364D-4443-92A8-7E2884B75666}">
      <text>
        <r>
          <rPr>
            <sz val="9"/>
            <rFont val="Tahoma"/>
            <family val="2"/>
          </rPr>
          <t>Informar o número médio de dias trabalhados por mês</t>
        </r>
      </text>
    </comment>
    <comment ref="D75" authorId="1" shapeId="0" xr:uid="{F5CC2AD2-4818-44B6-86E7-CCE93A7463C1}">
      <text>
        <r>
          <rPr>
            <sz val="10"/>
            <color rgb="FF000000"/>
            <rFont val="Calibri"/>
            <family val="2"/>
            <scheme val="minor"/>
          </rPr>
          <t>======
ID#AAAAoDJFF8k
Clauber Bridi    (2023-01-16 19:48:33)
Valor Unitário considerando o desconto legal de até 6% do salário</t>
        </r>
      </text>
    </comment>
    <comment ref="D76" authorId="1" shapeId="0" xr:uid="{4470025D-6617-4375-9CD8-C03047827656}">
      <text>
        <r>
          <rPr>
            <sz val="10"/>
            <color rgb="FF000000"/>
            <rFont val="Calibri"/>
            <family val="2"/>
            <scheme val="minor"/>
          </rPr>
          <t>======
ID#AAAAoDJFF7Y
Clauber Bridi    (2023-01-16 19:48:33)
Valor Unitário considerando o desconto legal de até 6% do salário</t>
        </r>
      </text>
    </comment>
    <comment ref="D81" authorId="0" shapeId="0" xr:uid="{40171103-1178-406B-8AC0-9383691EE03E}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82" authorId="0" shapeId="0" xr:uid="{2FE5B3C3-FAE1-4DDA-AAD1-DD364F0A11B7}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87" authorId="0" shapeId="0" xr:uid="{8572249A-86B0-4EBB-A55E-463D8FE70185}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D88" authorId="0" shapeId="0" xr:uid="{C7F26653-A59A-4CC5-9A2A-365223A0475C}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C98" authorId="0" shapeId="0" xr:uid="{32AC64BD-846F-46C1-9D10-5F6CEA3CCB57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8" authorId="0" shapeId="0" xr:uid="{B6D3E5DE-419C-4233-9FDF-CB747637B318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99" authorId="0" shapeId="0" xr:uid="{E722F612-3FC6-410A-A6CC-CF0F134A22BA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9" authorId="0" shapeId="0" xr:uid="{BF88B18B-DDDE-4096-B294-C77CAA43960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0" authorId="0" shapeId="0" xr:uid="{B8319BC0-4C74-4BFA-8215-4C2BBD3C544E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0" authorId="0" shapeId="0" xr:uid="{A26902F5-6283-4C28-A3A1-455CBFB6AD35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1" authorId="0" shapeId="0" xr:uid="{2AED153B-872D-4A22-BC1A-C9FFD8E3BFD2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1" authorId="0" shapeId="0" xr:uid="{5FD42058-355C-4376-886C-BE4F4A53533C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2" authorId="0" shapeId="0" xr:uid="{3C5541E1-F6DF-4C25-8D6D-AF1A52E63C9E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2" authorId="0" shapeId="0" xr:uid="{469CF179-362F-4872-894F-82D4D36737D8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3" authorId="0" shapeId="0" xr:uid="{4EF257B5-41F2-449A-8FC4-71A767A69453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3" authorId="0" shapeId="0" xr:uid="{56D56F1B-39B5-4517-8298-D9948F65876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4" authorId="0" shapeId="0" xr:uid="{B5D38474-C2F9-4BDB-BA2A-99E1C1BC5DB1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4" authorId="0" shapeId="0" xr:uid="{073E2EBD-5B35-442F-AB82-16A14C58F010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5" authorId="0" shapeId="0" xr:uid="{6FE507C9-027B-403E-9C7C-9BC331C64399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5" authorId="0" shapeId="0" xr:uid="{22814568-87E3-4C10-B809-2644E54FDA9C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06" authorId="0" shapeId="0" xr:uid="{DA2E977C-63C6-40BE-8E2E-3E68ED2B4F57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06" authorId="0" shapeId="0" xr:uid="{20D5A3A1-71D8-4106-8CF9-1E844BCA1E0E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107" authorId="0" shapeId="0" xr:uid="{8275BB70-AE80-4C49-B777-58A7797270C9}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C114" authorId="0" shapeId="0" xr:uid="{122F50AD-7529-4AFE-A52A-83D69CBE93F6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4" authorId="0" shapeId="0" xr:uid="{3126595C-1873-4F82-AA25-7E9082FF88F2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5" authorId="0" shapeId="0" xr:uid="{2A7B765C-B459-4944-89AF-950E7AA1C73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5" authorId="0" shapeId="0" xr:uid="{2182FFBE-22AE-4DAC-91E8-71A0F5B88954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6" authorId="0" shapeId="0" xr:uid="{F07BF489-7C04-453E-A53A-678B2D1E2491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6" authorId="0" shapeId="0" xr:uid="{CCD2F202-3DB7-4BB8-A0D0-163ADF2F48B6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7" authorId="0" shapeId="0" xr:uid="{37A25CF4-CA53-4651-A5C4-325EF04FC38E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7" authorId="0" shapeId="0" xr:uid="{BE578CC2-6867-4817-BF8B-647E40990F62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18" authorId="0" shapeId="0" xr:uid="{84B0532B-22AD-424F-BB38-E1BBD6117794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18" authorId="0" shapeId="0" xr:uid="{3A889549-075D-4803-94CC-BF49BDB45274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119" authorId="0" shapeId="0" xr:uid="{FC17D504-A985-47FD-B162-F0E27F81E9A0}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D131" authorId="0" shapeId="0" xr:uid="{D1D6AE74-D667-4EAC-B1BE-A8EA2A6695F4}">
      <text>
        <r>
          <rPr>
            <sz val="9"/>
            <rFont val="Tahoma"/>
            <family val="2"/>
          </rPr>
          <t>Informar o preço unitário do chassis do caminhão de coleta</t>
        </r>
      </text>
    </comment>
    <comment ref="C132" authorId="0" shapeId="0" xr:uid="{8E8782CD-C302-404F-B558-55CC9C5F6199}">
      <text>
        <r>
          <rPr>
            <sz val="9"/>
            <rFont val="Tahoma"/>
            <family val="2"/>
          </rPr>
          <t>Informar a vida útil estimada para o caminhão, em anos</t>
        </r>
      </text>
    </comment>
    <comment ref="C133" authorId="0" shapeId="0" xr:uid="{73581F98-78B9-4E28-919A-AD63872DE47B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34" authorId="0" shapeId="0" xr:uid="{DBCC4BD4-4A55-480C-807D-DB3858D296CD}">
      <text>
        <r>
          <rPr>
            <b/>
            <sz val="9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C137" authorId="1" shapeId="0" xr:uid="{A573BD86-D282-473F-BDE5-4613AE576561}">
      <text>
        <r>
          <rPr>
            <sz val="10"/>
            <color rgb="FF000000"/>
            <rFont val="Calibri"/>
            <family val="2"/>
            <scheme val="minor"/>
          </rPr>
          <t>======
ID#AAAAoDJFF84
Clauber Bridi    (2023-01-16 19:48:33)
Informar a quantidade de caminhões compactadores do respectivo modelo</t>
        </r>
      </text>
    </comment>
    <comment ref="C148" authorId="1" shapeId="0" xr:uid="{C3B7E9DC-3B8E-47AF-B7FF-E36073BA4856}">
      <text>
        <r>
          <rPr>
            <sz val="10"/>
            <color rgb="FF000000"/>
            <rFont val="Calibri"/>
            <family val="2"/>
            <scheme val="minor"/>
          </rPr>
          <t>======
ID#AAAAoDJFF84
Clauber Bridi    (2023-01-16 19:48:33)
Informar a quantidade de caminhões compactadores do respectivo modelo</t>
        </r>
      </text>
    </comment>
    <comment ref="D153" authorId="0" shapeId="0" xr:uid="{FB2B8851-C939-42E0-BD30-A1DF91D7F9FC}">
      <text>
        <r>
          <rPr>
            <sz val="9"/>
            <rFont val="Tahoma"/>
            <family val="2"/>
          </rPr>
          <t xml:space="preserve">Informar o valor do seguro contra terceiros de um caminhão, se houver
</t>
        </r>
      </text>
    </comment>
    <comment ref="B159" authorId="1" shapeId="0" xr:uid="{2DD0C744-94B7-41F6-B53C-CC43B308E47C}">
      <text>
        <r>
          <rPr>
            <sz val="10"/>
            <color rgb="FF000000"/>
            <rFont val="Calibri"/>
            <family val="2"/>
            <scheme val="minor"/>
          </rPr>
          <t>======
ID#AAAAoDJFF8M
Clauber Bridi    (2023-01-16 19:48:33)
Informar a quilometragem mensal percorrida, de acordo com o projeto básico</t>
        </r>
      </text>
    </comment>
    <comment ref="C162" authorId="0" shapeId="0" xr:uid="{471D6ACB-227A-44EB-BEB7-41AF2ED405AE}">
      <text>
        <r>
          <rPr>
            <sz val="9"/>
            <rFont val="Tahoma"/>
            <family val="2"/>
          </rPr>
          <t>Informar o consumo estimado do veículo em km/l</t>
        </r>
      </text>
    </comment>
    <comment ref="D162" authorId="0" shapeId="0" xr:uid="{A5024709-8094-4CB0-88B0-2B73D2719143}">
      <text>
        <r>
          <rPr>
            <sz val="9"/>
            <rFont val="Tahoma"/>
            <family val="2"/>
          </rPr>
          <t xml:space="preserve">Informar o preço unitário do combustivel
</t>
        </r>
      </text>
    </comment>
    <comment ref="C164" authorId="0" shapeId="0" xr:uid="{4A251DDA-DEAF-4D79-9B9E-1AD0A0C17127}">
      <text>
        <r>
          <rPr>
            <sz val="9"/>
            <rFont val="Tahoma"/>
            <family val="2"/>
          </rPr>
          <t>Informar o consumo de óleo do motor a cada 1000km</t>
        </r>
      </text>
    </comment>
    <comment ref="D164" authorId="0" shapeId="0" xr:uid="{5561BC2E-0695-4C25-8386-790FB8846FDB}">
      <text>
        <r>
          <rPr>
            <sz val="9"/>
            <rFont val="Tahoma"/>
            <family val="2"/>
          </rPr>
          <t xml:space="preserve">Informar o preço unitário do litro do óleo do motor
</t>
        </r>
      </text>
    </comment>
    <comment ref="C166" authorId="0" shapeId="0" xr:uid="{C83EF30F-6310-40CC-9EDE-F2648DB524D2}">
      <text>
        <r>
          <rPr>
            <sz val="9"/>
            <rFont val="Tahoma"/>
            <family val="2"/>
          </rPr>
          <t>Informar o consumo de óleo da transmissão a cada 1000km</t>
        </r>
      </text>
    </comment>
    <comment ref="D166" authorId="0" shapeId="0" xr:uid="{922AE9F2-13E8-4E50-BBE4-BD8CB22C84EF}">
      <text>
        <r>
          <rPr>
            <sz val="9"/>
            <rFont val="Tahoma"/>
            <family val="2"/>
          </rPr>
          <t xml:space="preserve">Informar o preço unitário do litro do óleo da transmissão
</t>
        </r>
      </text>
    </comment>
    <comment ref="C168" authorId="0" shapeId="0" xr:uid="{FBDD2B39-4ADD-4D89-8C2D-630530120C5D}">
      <text>
        <r>
          <rPr>
            <sz val="9"/>
            <rFont val="Tahoma"/>
            <family val="2"/>
          </rPr>
          <t>Informar o consumo de óleo hidráulico a cada 1000km</t>
        </r>
      </text>
    </comment>
    <comment ref="D168" authorId="0" shapeId="0" xr:uid="{6C30C3A1-FE08-4CCB-AB12-18834E6BF45D}">
      <text>
        <r>
          <rPr>
            <sz val="9"/>
            <rFont val="Tahoma"/>
            <family val="2"/>
          </rPr>
          <t xml:space="preserve">Informar o preço unitário do litro do óleo hidráulico
</t>
        </r>
      </text>
    </comment>
    <comment ref="C170" authorId="0" shapeId="0" xr:uid="{14F95836-F86E-4FB5-B64F-F93C625DA7BF}">
      <text>
        <r>
          <rPr>
            <sz val="9"/>
            <rFont val="Tahoma"/>
            <family val="2"/>
          </rPr>
          <t>Informar o consumo de graxa a cada 1000km</t>
        </r>
      </text>
    </comment>
    <comment ref="D170" authorId="0" shapeId="0" xr:uid="{88CBC366-9540-4D16-9767-C708916D0B60}">
      <text>
        <r>
          <rPr>
            <sz val="9"/>
            <rFont val="Tahoma"/>
            <family val="2"/>
          </rPr>
          <t xml:space="preserve">Informar o preço unitário do litro da graxa
</t>
        </r>
      </text>
    </comment>
    <comment ref="D177" authorId="1" shapeId="0" xr:uid="{79DC8E5A-4791-4B25-A4C8-EB2720B6EBB5}">
      <text>
        <r>
          <rPr>
            <sz val="10"/>
            <color rgb="FF000000"/>
            <rFont val="Calibri"/>
            <family val="2"/>
            <scheme val="minor"/>
          </rPr>
          <t>======
ID#AAAAoDJFF3o
Clauber Bridi    (2023-01-16 19:48:33)
Informar o custo de manutenção em R$/km rodado</t>
        </r>
      </text>
    </comment>
    <comment ref="C182" authorId="0" shapeId="0" xr:uid="{3B662A73-A0F3-4BDF-AF63-DD6C82A6ED5B}">
      <text>
        <r>
          <rPr>
            <sz val="9"/>
            <rFont val="Tahoma"/>
            <family val="2"/>
          </rPr>
          <t>Informar a quantidade de pneus novos de 1 caminhão</t>
        </r>
      </text>
    </comment>
    <comment ref="D182" authorId="0" shapeId="0" xr:uid="{3204C19B-8B0E-4407-A272-6653792CD1C5}">
      <text>
        <r>
          <rPr>
            <sz val="9"/>
            <rFont val="Tahoma"/>
            <family val="2"/>
          </rPr>
          <t xml:space="preserve">Informar o preço unitário de cada pneu
</t>
        </r>
      </text>
    </comment>
    <comment ref="C183" authorId="0" shapeId="0" xr:uid="{470B3382-9FDF-43FF-AB48-ECF56C1F14FE}">
      <text>
        <r>
          <rPr>
            <sz val="9"/>
            <rFont val="Tahoma"/>
            <family val="2"/>
          </rPr>
          <t>Informar a quantidade de pneus novos de 1 caminhão</t>
        </r>
      </text>
    </comment>
    <comment ref="D183" authorId="0" shapeId="0" xr:uid="{2D057E69-9939-4E78-B132-51541F6D6E1A}">
      <text>
        <r>
          <rPr>
            <sz val="9"/>
            <rFont val="Tahoma"/>
            <family val="2"/>
          </rPr>
          <t xml:space="preserve">Informar o preço unitário de cada pneu
</t>
        </r>
      </text>
    </comment>
    <comment ref="C184" authorId="0" shapeId="0" xr:uid="{5351521B-D405-4E2C-A180-E9DBECE07E86}">
      <text>
        <r>
          <rPr>
            <sz val="9"/>
            <rFont val="Tahoma"/>
            <family val="2"/>
          </rPr>
          <t>Informar o número de recapagens por pneu</t>
        </r>
      </text>
    </comment>
    <comment ref="D185" authorId="0" shapeId="0" xr:uid="{B39DA476-4C2E-49F5-AD78-6C1841421605}">
      <text>
        <r>
          <rPr>
            <sz val="9"/>
            <rFont val="Tahoma"/>
            <family val="2"/>
          </rPr>
          <t xml:space="preserve">Informar o preço unitário de cada recapagem
</t>
        </r>
      </text>
    </comment>
    <comment ref="D186" authorId="0" shapeId="0" xr:uid="{1DAD4EB0-DFC4-40EC-9D8E-A52F8F7F15CE}">
      <text>
        <r>
          <rPr>
            <sz val="9"/>
            <rFont val="Tahoma"/>
            <family val="2"/>
          </rPr>
          <t xml:space="preserve">Informar o preço unitário de cada recapagem
</t>
        </r>
      </text>
    </comment>
    <comment ref="C187" authorId="0" shapeId="0" xr:uid="{C19A6F70-B4BB-4F4C-A5F1-813C5B642133}">
      <text>
        <r>
          <rPr>
            <sz val="9"/>
            <rFont val="Tahoma"/>
            <family val="2"/>
          </rPr>
          <t xml:space="preserve">Informar a durabilidade média dos pneus considerando as recapagens, em km
</t>
        </r>
      </text>
    </comment>
    <comment ref="C196" authorId="0" shapeId="0" xr:uid="{8389820C-F97A-4EBA-B70A-9D1A4F054F31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6" authorId="0" shapeId="0" xr:uid="{C8BB95E7-258C-4423-9354-7B47B058E495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197" authorId="0" shapeId="0" xr:uid="{2140FE1E-AFA1-4587-A3A8-CC2041F88DE7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7" authorId="0" shapeId="0" xr:uid="{D6EACCF0-A5B4-4553-A573-042E10757433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198" authorId="0" shapeId="0" xr:uid="{866A6BE9-D37D-40B0-A65D-1F37A1AE677A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8" authorId="0" shapeId="0" xr:uid="{5ECFACC8-A3C5-40CA-80CD-A3C19C4911A6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A203" authorId="1" shapeId="0" xr:uid="{4CF3807F-B297-4082-B183-890B84A6304D}">
      <text>
        <r>
          <rPr>
            <sz val="10"/>
            <color rgb="FF000000"/>
            <rFont val="Calibri"/>
            <family val="2"/>
            <scheme val="minor"/>
          </rPr>
          <t>======
ID#AAAAoDJFF5Y
Clauber Bridi    (2023-01-16 19:48:33)
Especificar somente quando for exigido no Projeto Básico</t>
        </r>
      </text>
    </comment>
    <comment ref="D206" authorId="0" shapeId="0" xr:uid="{5CE19C8B-AC38-45F8-8557-6E7CBCF6450A}">
      <text>
        <r>
          <rPr>
            <sz val="9"/>
            <rFont val="Tahoma"/>
            <family val="2"/>
          </rPr>
          <t>Informar o valor total para instalação do equipamento de monitoramento da frota, se houver</t>
        </r>
      </text>
    </comment>
    <comment ref="D208" authorId="0" shapeId="0" xr:uid="{0E31CCB3-1B59-46CD-A572-495FF8BFD720}">
      <text>
        <r>
          <rPr>
            <sz val="9"/>
            <rFont val="Tahoma"/>
            <family val="2"/>
          </rPr>
          <t>Informar o valor unitário mensal para manutenção dos equipamentos de monitoramento</t>
        </r>
      </text>
    </comment>
    <comment ref="C219" authorId="1" shapeId="0" xr:uid="{1DCCBBB5-5489-4A92-B7A5-3C762F5E4421}">
      <text>
        <r>
          <rPr>
            <sz val="10"/>
            <color rgb="FF000000"/>
            <rFont val="Calibri"/>
            <family val="2"/>
            <scheme val="minor"/>
          </rPr>
          <t>======
ID#AAAAoDJFF7o
Clauber Bridi    (2023-01-16 19:48:33)
Preencher a aba 4.BDI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7" authorId="0" shapeId="0" xr:uid="{00000000-0006-0000-0600-000001000000}">
      <text>
        <r>
          <rPr>
            <sz val="9"/>
            <rFont val="Tahoma"/>
            <family val="2"/>
          </rPr>
          <t xml:space="preserve">Qualquer custo previsto no edital e não contemplado nesta planilha modelo deverá ser devidamente incluído
</t>
        </r>
      </text>
    </comment>
    <comment ref="B51" authorId="0" shapeId="0" xr:uid="{00000000-0006-0000-0600-000002000000}">
      <text>
        <r>
          <rPr>
            <b/>
            <sz val="9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rFont val="Tahoma"/>
            <family val="2"/>
          </rPr>
          <t xml:space="preserve">
</t>
        </r>
      </text>
    </comment>
    <comment ref="D58" authorId="0" shapeId="0" xr:uid="{00000000-0006-0000-0600-000003000000}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59" authorId="0" shapeId="0" xr:uid="{00000000-0006-0000-0600-000004000000}">
      <text>
        <r>
          <rPr>
            <sz val="9"/>
            <rFont val="Tahoma"/>
            <family val="2"/>
          </rPr>
          <t>Informar o valor do salário Mínimo Nacional</t>
        </r>
      </text>
    </comment>
    <comment ref="C60" authorId="0" shapeId="0" xr:uid="{00000000-0006-0000-0600-000005000000}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1" authorId="0" shapeId="0" xr:uid="{00000000-0006-0000-0600-000006000000}">
      <text>
        <r>
          <rPr>
            <sz val="9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63" authorId="0" shapeId="0" xr:uid="{00000000-0006-0000-0600-000007000000}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65" authorId="0" shapeId="0" xr:uid="{00000000-0006-0000-0600-000008000000}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71" authorId="0" shapeId="0" xr:uid="{00000000-0006-0000-0600-000009000000}">
      <text>
        <r>
          <rPr>
            <sz val="9"/>
            <rFont val="Tahoma"/>
            <family val="2"/>
          </rPr>
          <t>Informar o valor unitário do VT no município</t>
        </r>
      </text>
    </comment>
    <comment ref="C72" authorId="0" shapeId="0" xr:uid="{00000000-0006-0000-0600-00000A000000}">
      <text>
        <r>
          <rPr>
            <sz val="9"/>
            <rFont val="Tahoma"/>
            <family val="2"/>
          </rPr>
          <t>Informar o número médio de dias trabalhados por mês</t>
        </r>
      </text>
    </comment>
    <comment ref="D73" authorId="0" shapeId="0" xr:uid="{00000000-0006-0000-0600-00000B000000}">
      <text>
        <r>
          <rPr>
            <sz val="9"/>
            <rFont val="Tahoma"/>
            <family val="2"/>
          </rPr>
          <t xml:space="preserve">Valor Unitário considerando o desconto legal de até 6% do salário
</t>
        </r>
      </text>
    </comment>
    <comment ref="D78" authorId="0" shapeId="0" xr:uid="{539F1CAF-5C20-476B-B8DA-CD0C9B16CA61}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83" authorId="0" shapeId="0" xr:uid="{9FAD3975-7BD9-48BB-9696-FC6A1A91DA08}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C93" authorId="0" shapeId="0" xr:uid="{8CA87620-3B2B-403B-BE01-3A9B99F3C320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3" authorId="0" shapeId="0" xr:uid="{E83077AB-025F-445D-AEDC-95D7BC4EACE1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94" authorId="0" shapeId="0" xr:uid="{858F35FF-A49D-4AE7-95CE-3B4D5A5C2686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4" authorId="0" shapeId="0" xr:uid="{57E34A0E-A089-46A8-B5D6-2F7D7EBBF253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95" authorId="0" shapeId="0" xr:uid="{6CD8881E-B980-4CE1-A41D-9AD5B6742CCA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5" authorId="0" shapeId="0" xr:uid="{0B19A333-C435-480D-AE82-95E91B5E7475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96" authorId="0" shapeId="0" xr:uid="{04CA15D7-0127-473E-BCBF-3CC0B0AF105F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6" authorId="0" shapeId="0" xr:uid="{F9869593-FF22-4DFD-A6DB-BE651F2F3154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97" authorId="0" shapeId="0" xr:uid="{343E1968-72F0-43D0-BDD5-0E82B084B221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7" authorId="0" shapeId="0" xr:uid="{1F78E447-4643-4F67-8FF8-D72C578938EA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98" authorId="0" shapeId="0" xr:uid="{B2301292-22A9-4800-95D2-6E450BB43D72}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98" authorId="0" shapeId="0" xr:uid="{1676EE9D-75DA-4366-B372-C22F3740BD0A}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99" authorId="0" shapeId="0" xr:uid="{33598717-8A3D-402F-BDCA-969232AFD371}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D111" authorId="0" shapeId="0" xr:uid="{00000000-0006-0000-0600-000015000000}">
      <text>
        <r>
          <rPr>
            <sz val="9"/>
            <rFont val="Tahoma"/>
            <family val="2"/>
          </rPr>
          <t>Informar o preço unitário do chassis do caminhão de coleta</t>
        </r>
      </text>
    </comment>
    <comment ref="C112" authorId="0" shapeId="0" xr:uid="{00000000-0006-0000-0600-000016000000}">
      <text>
        <r>
          <rPr>
            <sz val="9"/>
            <rFont val="Tahoma"/>
            <family val="2"/>
          </rPr>
          <t>Informar a vida útil estimada para o caminhão, em anos</t>
        </r>
      </text>
    </comment>
    <comment ref="C113" authorId="0" shapeId="0" xr:uid="{00000000-0006-0000-0600-000017000000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14" authorId="0" shapeId="0" xr:uid="{00000000-0006-0000-0600-000018000000}">
      <text>
        <r>
          <rPr>
            <b/>
            <sz val="9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D116" authorId="0" shapeId="0" xr:uid="{00000000-0006-0000-0600-000019000000}">
      <text>
        <r>
          <rPr>
            <sz val="9"/>
            <rFont val="Tahoma"/>
            <family val="2"/>
          </rPr>
          <t xml:space="preserve">Informar o preço unitário do equipamento compactador
</t>
        </r>
      </text>
    </comment>
    <comment ref="C117" authorId="0" shapeId="0" xr:uid="{00000000-0006-0000-0600-00001A000000}">
      <text>
        <r>
          <rPr>
            <sz val="9"/>
            <rFont val="Tahoma"/>
            <family val="2"/>
          </rPr>
          <t>Informar a vida útil estimada para o compactador, em anos</t>
        </r>
      </text>
    </comment>
    <comment ref="C118" authorId="0" shapeId="0" xr:uid="{00000000-0006-0000-0600-00001B000000}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19" authorId="0" shapeId="0" xr:uid="{00000000-0006-0000-0600-00001C000000}">
      <text>
        <r>
          <rPr>
            <b/>
            <sz val="9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C122" authorId="0" shapeId="0" xr:uid="{00000000-0006-0000-0600-00001D000000}">
      <text>
        <r>
          <rPr>
            <sz val="9"/>
            <rFont val="Tahoma"/>
            <family val="2"/>
          </rPr>
          <t>Informar a quantidade de caminhões compactadores do respectivo modelo</t>
        </r>
      </text>
    </comment>
    <comment ref="C128" authorId="0" shapeId="0" xr:uid="{00000000-0006-0000-0600-00001E000000}">
      <text>
        <r>
          <rPr>
            <b/>
            <sz val="9"/>
            <rFont val="Tahoma"/>
            <family val="2"/>
          </rPr>
          <t>Informar a taxa de juros anual para remuneração do capital. Recomenda-se o uso da Taxa SELIC</t>
        </r>
        <r>
          <rPr>
            <sz val="9"/>
            <rFont val="Tahoma"/>
            <family val="2"/>
          </rPr>
          <t xml:space="preserve">
</t>
        </r>
      </text>
    </comment>
    <comment ref="D144" authorId="0" shapeId="0" xr:uid="{00000000-0006-0000-0600-00001F000000}">
      <text>
        <r>
          <rPr>
            <sz val="9"/>
            <rFont val="Tahoma"/>
            <family val="2"/>
          </rPr>
          <t xml:space="preserve">Informar o valor do seguro obrigatório e licenciamento anual de um caminhão
</t>
        </r>
      </text>
    </comment>
    <comment ref="D145" authorId="0" shapeId="0" xr:uid="{00000000-0006-0000-0600-000020000000}">
      <text>
        <r>
          <rPr>
            <sz val="9"/>
            <rFont val="Tahoma"/>
            <family val="2"/>
          </rPr>
          <t xml:space="preserve">Informar o valor do seguro contra terceiros de um caminhão, se houver
</t>
        </r>
      </text>
    </comment>
    <comment ref="B151" authorId="0" shapeId="0" xr:uid="{00000000-0006-0000-0600-000021000000}">
      <text>
        <r>
          <rPr>
            <sz val="9"/>
            <rFont val="Tahoma"/>
            <family val="2"/>
          </rPr>
          <t xml:space="preserve">Informar a quilometragem mensal percorrida, de acordo com o projeto básico
</t>
        </r>
      </text>
    </comment>
    <comment ref="C154" authorId="0" shapeId="0" xr:uid="{00000000-0006-0000-0600-000022000000}">
      <text>
        <r>
          <rPr>
            <sz val="9"/>
            <rFont val="Tahoma"/>
            <family val="2"/>
          </rPr>
          <t>Informar o consumo estimado do veículo em km/l</t>
        </r>
      </text>
    </comment>
    <comment ref="D154" authorId="0" shapeId="0" xr:uid="{00000000-0006-0000-0600-000023000000}">
      <text>
        <r>
          <rPr>
            <sz val="9"/>
            <rFont val="Tahoma"/>
            <family val="2"/>
          </rPr>
          <t xml:space="preserve">Informar o preço unitário do combustivel
</t>
        </r>
      </text>
    </comment>
    <comment ref="C156" authorId="0" shapeId="0" xr:uid="{77F46D7C-90BF-439F-9A1F-5C9A392FF198}">
      <text>
        <r>
          <rPr>
            <sz val="9"/>
            <rFont val="Tahoma"/>
            <family val="2"/>
          </rPr>
          <t>Informar o consumo de óleo do motor a cada 1000km</t>
        </r>
      </text>
    </comment>
    <comment ref="D156" authorId="0" shapeId="0" xr:uid="{A145525A-150C-44B9-B26C-F3AF121A6A9B}">
      <text>
        <r>
          <rPr>
            <sz val="9"/>
            <rFont val="Tahoma"/>
            <family val="2"/>
          </rPr>
          <t xml:space="preserve">Informar o preço unitário do litro do óleo do motor
</t>
        </r>
      </text>
    </comment>
    <comment ref="C158" authorId="0" shapeId="0" xr:uid="{02642389-E54D-4ED2-9265-494A2E50DB11}">
      <text>
        <r>
          <rPr>
            <sz val="9"/>
            <rFont val="Tahoma"/>
            <family val="2"/>
          </rPr>
          <t>Informar o consumo de óleo da transmissão a cada 1000km</t>
        </r>
      </text>
    </comment>
    <comment ref="D158" authorId="0" shapeId="0" xr:uid="{81231E30-3D5E-4D13-A297-0CFC22DA3405}">
      <text>
        <r>
          <rPr>
            <sz val="9"/>
            <rFont val="Tahoma"/>
            <family val="2"/>
          </rPr>
          <t xml:space="preserve">Informar o preço unitário do litro do óleo da transmissão
</t>
        </r>
      </text>
    </comment>
    <comment ref="C160" authorId="0" shapeId="0" xr:uid="{D77D71D4-D235-48B9-8FE1-219323AEFE70}">
      <text>
        <r>
          <rPr>
            <sz val="9"/>
            <rFont val="Tahoma"/>
            <family val="2"/>
          </rPr>
          <t>Informar o consumo de óleo hidráulico a cada 1000km</t>
        </r>
      </text>
    </comment>
    <comment ref="D160" authorId="0" shapeId="0" xr:uid="{08D1DDAA-173E-43B0-A3FF-378160D91884}">
      <text>
        <r>
          <rPr>
            <sz val="9"/>
            <rFont val="Tahoma"/>
            <family val="2"/>
          </rPr>
          <t xml:space="preserve">Informar o preço unitário do litro do óleo hidráulico
</t>
        </r>
      </text>
    </comment>
    <comment ref="C162" authorId="0" shapeId="0" xr:uid="{4E1427DB-8F9C-48C0-A174-AEDDDCBAA3DE}">
      <text>
        <r>
          <rPr>
            <sz val="9"/>
            <rFont val="Tahoma"/>
            <family val="2"/>
          </rPr>
          <t>Informar o consumo de graxa a cada 1000km</t>
        </r>
      </text>
    </comment>
    <comment ref="D162" authorId="0" shapeId="0" xr:uid="{156A2B3F-F22A-40CC-B0E6-3F806186F539}">
      <text>
        <r>
          <rPr>
            <sz val="9"/>
            <rFont val="Tahoma"/>
            <family val="2"/>
          </rPr>
          <t xml:space="preserve">Informar o preço unitário do litro da graxa
</t>
        </r>
      </text>
    </comment>
    <comment ref="D169" authorId="0" shapeId="0" xr:uid="{00000000-0006-0000-0600-00002C000000}">
      <text>
        <r>
          <rPr>
            <sz val="9"/>
            <rFont val="Tahoma"/>
            <family val="2"/>
          </rPr>
          <t xml:space="preserve">Informar o custo de manutenção em R$/km rodado
</t>
        </r>
      </text>
    </comment>
    <comment ref="C173" authorId="0" shapeId="0" xr:uid="{00000000-0006-0000-0600-00002D000000}">
      <text>
        <r>
          <rPr>
            <sz val="9"/>
            <rFont val="Tahoma"/>
            <family val="2"/>
          </rPr>
          <t>Informar a quantidade de pneus novos de 1 caminhão</t>
        </r>
      </text>
    </comment>
    <comment ref="D173" authorId="0" shapeId="0" xr:uid="{00000000-0006-0000-0600-00002E000000}">
      <text>
        <r>
          <rPr>
            <sz val="9"/>
            <rFont val="Tahoma"/>
            <family val="2"/>
          </rPr>
          <t xml:space="preserve">Informar o preço unitário de cada pneu
</t>
        </r>
      </text>
    </comment>
    <comment ref="C174" authorId="0" shapeId="0" xr:uid="{00000000-0006-0000-0600-00002F000000}">
      <text>
        <r>
          <rPr>
            <sz val="9"/>
            <rFont val="Tahoma"/>
            <family val="2"/>
          </rPr>
          <t>Informar o número de recapagens por pneu</t>
        </r>
      </text>
    </comment>
    <comment ref="D175" authorId="0" shapeId="0" xr:uid="{00000000-0006-0000-0600-000030000000}">
      <text>
        <r>
          <rPr>
            <sz val="9"/>
            <rFont val="Tahoma"/>
            <family val="2"/>
          </rPr>
          <t xml:space="preserve">Informar o preço unitário de cada recapagem
</t>
        </r>
      </text>
    </comment>
    <comment ref="C176" authorId="0" shapeId="0" xr:uid="{00000000-0006-0000-0600-000031000000}">
      <text>
        <r>
          <rPr>
            <sz val="9"/>
            <rFont val="Tahoma"/>
            <family val="2"/>
          </rPr>
          <t xml:space="preserve">Informar a durabilidade média dos pneus considerando as recapagens, em km
</t>
        </r>
      </text>
    </comment>
    <comment ref="C186" authorId="0" shapeId="0" xr:uid="{2DBB2386-7A10-40F6-9848-2DBDE3D3E1E6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86" authorId="0" shapeId="0" xr:uid="{B8022601-1D3D-486A-BEE3-4480178B33ED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187" authorId="0" shapeId="0" xr:uid="{5E048B3A-87FE-4017-A571-E786CCCFA1E2}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87" authorId="0" shapeId="0" xr:uid="{300DAEC3-13F1-43BB-8814-5B3B94C74734}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A192" authorId="0" shapeId="0" xr:uid="{00000000-0006-0000-0600-000036000000}">
      <text>
        <r>
          <rPr>
            <b/>
            <sz val="9"/>
            <rFont val="Tahoma"/>
            <family val="2"/>
          </rPr>
          <t>Especificar somente quando for exigido no Projeto Básico</t>
        </r>
        <r>
          <rPr>
            <sz val="9"/>
            <rFont val="Tahoma"/>
            <family val="2"/>
          </rPr>
          <t xml:space="preserve">
</t>
        </r>
      </text>
    </comment>
    <comment ref="D195" authorId="0" shapeId="0" xr:uid="{00000000-0006-0000-0600-000037000000}">
      <text>
        <r>
          <rPr>
            <sz val="9"/>
            <rFont val="Tahoma"/>
            <family val="2"/>
          </rPr>
          <t>Informar o valor total para instalação do equipamento de monitoramento da frota, se houver</t>
        </r>
      </text>
    </comment>
    <comment ref="D197" authorId="0" shapeId="0" xr:uid="{00000000-0006-0000-0600-000038000000}">
      <text>
        <r>
          <rPr>
            <sz val="9"/>
            <rFont val="Tahoma"/>
            <family val="2"/>
          </rPr>
          <t>Informar o valor unitário mensal para manutenção dos equipamentos de monitoramento</t>
        </r>
      </text>
    </comment>
    <comment ref="D206" authorId="0" shapeId="0" xr:uid="{00000000-0006-0000-0600-000039000000}">
      <text>
        <r>
          <rPr>
            <sz val="9"/>
            <rFont val="Tahoma"/>
            <family val="2"/>
          </rPr>
          <t>Informar o valor total para instalação do equipamento de monitoramento da frota, se houver</t>
        </r>
      </text>
    </comment>
    <comment ref="C214" authorId="0" shapeId="0" xr:uid="{00000000-0006-0000-0600-00003A000000}">
      <text>
        <r>
          <rPr>
            <sz val="9"/>
            <rFont val="Tahoma"/>
            <family val="2"/>
          </rPr>
          <t>Preencher a aba 4.BDI</t>
        </r>
      </text>
    </comment>
    <comment ref="D224" authorId="0" shapeId="0" xr:uid="{00000000-0006-0000-0600-00003B000000}">
      <text>
        <r>
          <rPr>
            <sz val="9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6" authorId="0" shapeId="0" xr:uid="{00000000-0006-0000-0900-000001000000}">
      <text>
        <r>
          <rPr>
            <b/>
            <sz val="9"/>
            <rFont val="Tahoma"/>
            <family val="2"/>
          </rPr>
          <t>Informar o % de Administração Central estimado</t>
        </r>
        <r>
          <rPr>
            <sz val="9"/>
            <rFont val="Tahoma"/>
            <family val="2"/>
          </rPr>
          <t xml:space="preserve">
</t>
        </r>
      </text>
    </comment>
    <comment ref="C7" authorId="0" shapeId="0" xr:uid="{00000000-0006-0000-0900-000002000000}">
      <text>
        <r>
          <rPr>
            <b/>
            <sz val="9"/>
            <rFont val="Tahoma"/>
            <family val="2"/>
          </rPr>
          <t>Informar o % de Seguros, Riscos e Garantia estimado</t>
        </r>
        <r>
          <rPr>
            <sz val="9"/>
            <rFont val="Tahoma"/>
            <family val="2"/>
          </rPr>
          <t xml:space="preserve">
</t>
        </r>
      </text>
    </comment>
    <comment ref="C8" authorId="0" shapeId="0" xr:uid="{00000000-0006-0000-0900-000003000000}">
      <text>
        <r>
          <rPr>
            <b/>
            <sz val="9"/>
            <rFont val="Tahoma"/>
            <family val="2"/>
          </rPr>
          <t>Informar o % de Lucro estimado</t>
        </r>
        <r>
          <rPr>
            <sz val="9"/>
            <rFont val="Tahoma"/>
            <family val="2"/>
          </rPr>
          <t xml:space="preserve">
</t>
        </r>
      </text>
    </comment>
    <comment ref="E9" authorId="0" shapeId="0" xr:uid="{00000000-0006-0000-0900-000004000000}">
      <text>
        <r>
          <rPr>
            <b/>
            <sz val="9"/>
            <rFont val="Tahoma"/>
            <family val="2"/>
          </rPr>
          <t>Informar o valor anual da taxa financeira, em percentual. Admite-se utilizar a SELIC</t>
        </r>
      </text>
    </comment>
    <comment ref="C10" authorId="0" shapeId="0" xr:uid="{00000000-0006-0000-0900-000005000000}">
      <text>
        <r>
          <rPr>
            <b/>
            <sz val="9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rFont val="Tahoma"/>
            <family val="2"/>
          </rPr>
          <t xml:space="preserve">
</t>
        </r>
      </text>
    </comment>
    <comment ref="E10" authorId="0" shapeId="0" xr:uid="{00000000-0006-0000-0900-000006000000}">
      <text>
        <r>
          <rPr>
            <b/>
            <sz val="9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rFont val="Tahoma"/>
            <family val="2"/>
          </rPr>
          <t xml:space="preserve">
</t>
        </r>
      </text>
    </comment>
    <comment ref="C11" authorId="0" shapeId="0" xr:uid="{00000000-0006-0000-0900-000007000000}">
      <text>
        <r>
          <rPr>
            <b/>
            <sz val="9"/>
            <rFont val="Tahoma"/>
            <family val="2"/>
          </rPr>
          <t xml:space="preserve">Informar o valor estimado de PIS/COFINS. </t>
        </r>
        <r>
          <rPr>
            <sz val="9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20" authorId="0" shapeId="0" xr:uid="{00000000-0006-0000-0900-000008000000}">
      <text>
        <r>
          <rPr>
            <b/>
            <sz val="9"/>
            <rFont val="Tahoma"/>
            <family val="2"/>
          </rPr>
          <t>Informar o % de Administração Central estimado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900-000009000000}">
      <text>
        <r>
          <rPr>
            <b/>
            <sz val="9"/>
            <rFont val="Tahoma"/>
            <family val="2"/>
          </rPr>
          <t>Informar o % de Seguros, Riscos e Garantia estimado</t>
        </r>
        <r>
          <rPr>
            <sz val="9"/>
            <rFont val="Tahoma"/>
            <family val="2"/>
          </rPr>
          <t xml:space="preserve">
</t>
        </r>
      </text>
    </comment>
    <comment ref="C22" authorId="0" shapeId="0" xr:uid="{00000000-0006-0000-0900-00000A000000}">
      <text>
        <r>
          <rPr>
            <b/>
            <sz val="9"/>
            <rFont val="Tahoma"/>
            <family val="2"/>
          </rPr>
          <t>Informar o % de Lucro estimado</t>
        </r>
        <r>
          <rPr>
            <sz val="9"/>
            <rFont val="Tahoma"/>
            <family val="2"/>
          </rPr>
          <t xml:space="preserve">
</t>
        </r>
      </text>
    </comment>
    <comment ref="E23" authorId="0" shapeId="0" xr:uid="{00000000-0006-0000-0900-00000B000000}">
      <text>
        <r>
          <rPr>
            <b/>
            <sz val="9"/>
            <rFont val="Tahoma"/>
            <family val="2"/>
          </rPr>
          <t>Informar o valor anual da taxa financeira, em percentual. Admite-se utilizar a SELIC</t>
        </r>
      </text>
    </comment>
    <comment ref="C24" authorId="0" shapeId="0" xr:uid="{00000000-0006-0000-0900-00000C000000}">
      <text>
        <r>
          <rPr>
            <b/>
            <sz val="9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rFont val="Tahoma"/>
            <family val="2"/>
          </rPr>
          <t xml:space="preserve">
</t>
        </r>
      </text>
    </comment>
    <comment ref="E24" authorId="0" shapeId="0" xr:uid="{00000000-0006-0000-0900-00000D000000}">
      <text>
        <r>
          <rPr>
            <b/>
            <sz val="9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rFont val="Tahoma"/>
            <family val="2"/>
          </rPr>
          <t xml:space="preserve">
</t>
        </r>
      </text>
    </comment>
    <comment ref="C25" authorId="0" shapeId="0" xr:uid="{00000000-0006-0000-0900-00000E000000}">
      <text>
        <r>
          <rPr>
            <b/>
            <sz val="9"/>
            <rFont val="Tahoma"/>
            <family val="2"/>
          </rPr>
          <t xml:space="preserve">Informar o valor estimado de PIS/COFINS. </t>
        </r>
        <r>
          <rPr>
            <sz val="9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<sst xmlns="http://schemas.openxmlformats.org/spreadsheetml/2006/main" count="1638" uniqueCount="466">
  <si>
    <t>Orientações para preenchimento:</t>
  </si>
  <si>
    <r>
      <rPr>
        <b/>
        <sz val="11"/>
        <rFont val="Arial"/>
        <family val="2"/>
      </rPr>
      <t>1.</t>
    </r>
    <r>
      <rPr>
        <sz val="11"/>
        <rFont val="Arial"/>
        <family val="2"/>
      </rPr>
      <t xml:space="preserve"> A planilha será preenchida automaticamente.</t>
    </r>
  </si>
  <si>
    <t>MUNICÍPIO DE SANTA CLARA DO SUL</t>
  </si>
  <si>
    <t>Contadoria</t>
  </si>
  <si>
    <t>COLETA ORGANICA, COLETA SELETIVA, TRANSPORTE, ARMAZENAMENTO (ESTAÇÃO DE TRANSBORDO), CLASSIFICAÇÃO/SELEÇÃO, TRANSPORTE ATÉ O DESTINO FINAL DE RESÍDUOS SÓLIDOS DOMICILIARES</t>
  </si>
  <si>
    <t>Planilha de Composição de Custos</t>
  </si>
  <si>
    <t>Orçamento Sintético</t>
  </si>
  <si>
    <t>Descrição do Item</t>
  </si>
  <si>
    <t>Custo (R$/mês)</t>
  </si>
  <si>
    <t>%</t>
  </si>
  <si>
    <t>PREÇO TOTAL MENSAL COM A COLETA ORGANICA, SELETIVA, TRANSPORTE, ARMAZENAMENTO (ESTAÇÃO DE TRANSBORDO), CLASSIFICAÇÃO/SELEÇÃO, TRANSPORTE E DESTINO FINAL DE RESÍDUOS SÓLIDOS DOMICILIARES</t>
  </si>
  <si>
    <t xml:space="preserve">CRONOGRAMA FÍSICO - FINANCEIRO </t>
  </si>
  <si>
    <t xml:space="preserve">SANTA CLARA DO SUL - RS </t>
  </si>
  <si>
    <t>ÍTEM</t>
  </si>
  <si>
    <t>FASE</t>
  </si>
  <si>
    <t>VALOR ORÇADO</t>
  </si>
  <si>
    <t>INCID.</t>
  </si>
  <si>
    <t>REALIZAÇÃO  MENSAL</t>
  </si>
  <si>
    <t>( R$ )</t>
  </si>
  <si>
    <t>( % )</t>
  </si>
  <si>
    <t>1º  MÊS</t>
  </si>
  <si>
    <t>2º  MÊS</t>
  </si>
  <si>
    <t>3º  MÊS</t>
  </si>
  <si>
    <t>4º  MÊS</t>
  </si>
  <si>
    <t>5º  MÊS</t>
  </si>
  <si>
    <t>6º  MÊS</t>
  </si>
  <si>
    <t>7º  MÊS</t>
  </si>
  <si>
    <t>8º  MÊS</t>
  </si>
  <si>
    <t>9º  MÊS</t>
  </si>
  <si>
    <t>10º  MÊS</t>
  </si>
  <si>
    <t>11º  MÊS</t>
  </si>
  <si>
    <t>12º  MÊS</t>
  </si>
  <si>
    <r>
      <rPr>
        <b/>
        <sz val="11"/>
        <rFont val="Arial"/>
        <family val="2"/>
      </rPr>
      <t>1.</t>
    </r>
    <r>
      <rPr>
        <sz val="11"/>
        <rFont val="Arial"/>
        <family val="2"/>
      </rPr>
      <t xml:space="preserve"> Preencher somente células em amarelo</t>
    </r>
  </si>
  <si>
    <r>
      <rPr>
        <b/>
        <sz val="11"/>
        <rFont val="Arial"/>
        <family val="2"/>
      </rPr>
      <t xml:space="preserve">2. </t>
    </r>
    <r>
      <rPr>
        <sz val="11"/>
        <rFont val="Arial"/>
        <family val="2"/>
      </rPr>
      <t>As células azuis deverão ter seus valores preenchidos em outra planilha do arquivo.</t>
    </r>
  </si>
  <si>
    <t>1.1. Coleta Organica</t>
  </si>
  <si>
    <t>DMT LOCAL:</t>
  </si>
  <si>
    <t>PREÇO TOTAL MENSAL COM A COLETA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</si>
  <si>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</si>
  <si>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</si>
  <si>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</si>
  <si>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</si>
  <si>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</si>
  <si>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da frota(FU)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</si>
  <si>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</si>
  <si>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</si>
  <si>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</si>
  <si>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</si>
  <si>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</si>
  <si>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</si>
  <si>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rPr>
        <b/>
        <sz val="11"/>
        <rFont val="Arial"/>
        <family val="2"/>
      </rPr>
      <t xml:space="preserve">Total </t>
    </r>
    <r>
      <rPr>
        <b/>
        <u/>
        <sz val="11"/>
        <rFont val="Arial"/>
        <family val="2"/>
      </rPr>
      <t>(R$)</t>
    </r>
  </si>
  <si>
    <t>mês</t>
  </si>
  <si>
    <t>R$</t>
  </si>
  <si>
    <t>Adicional de Insalubridade</t>
  </si>
  <si>
    <t>Soma:</t>
  </si>
  <si>
    <t>Encargos Sociais</t>
  </si>
  <si>
    <t>Total por Coletor:</t>
  </si>
  <si>
    <t>Total do Efetivo</t>
  </si>
  <si>
    <t>homem</t>
  </si>
  <si>
    <t>FU</t>
  </si>
  <si>
    <t>1.2. Motorista Turno do Dia</t>
  </si>
  <si>
    <t>Base de cálculo da Insalubridade</t>
  </si>
  <si>
    <t>Total por Motorista:</t>
  </si>
  <si>
    <t>1.5. Vale Transporte</t>
  </si>
  <si>
    <t>Vale Transporte</t>
  </si>
  <si>
    <t>Dias Trabalhados por mês</t>
  </si>
  <si>
    <t>dia</t>
  </si>
  <si>
    <t>Coletor</t>
  </si>
  <si>
    <t>vale</t>
  </si>
  <si>
    <t>Motorista</t>
  </si>
  <si>
    <t>1.6. Vale-refeição (diário)</t>
  </si>
  <si>
    <t>unidade</t>
  </si>
  <si>
    <t>1.7. Auxílio Alimentação (mensal)</t>
  </si>
  <si>
    <t>Custo Mensal com Mão-de-obra (R$/mês):</t>
  </si>
  <si>
    <t>2. Uniformes e Equipamentos de Proteção Individual</t>
  </si>
  <si>
    <t>2.1. Uniformes e EPI's para Coletor</t>
  </si>
  <si>
    <t>Durabilidade (meses)</t>
  </si>
  <si>
    <t>Botina de segurança c/ palmilha aço</t>
  </si>
  <si>
    <t>par</t>
  </si>
  <si>
    <t>Meia de algodão com cano alto</t>
  </si>
  <si>
    <t>Luva de proteção</t>
  </si>
  <si>
    <t>Protetor solar FPS 30</t>
  </si>
  <si>
    <t>frasco 120g</t>
  </si>
  <si>
    <t>Higienização de uniformes e EPIs</t>
  </si>
  <si>
    <t>R$ mensal</t>
  </si>
  <si>
    <t>Total (R$)</t>
  </si>
  <si>
    <t>2.2. Uniformes e EPI's para demais categorias</t>
  </si>
  <si>
    <t>Custo Mensal com Uniformes e EPIs (R$/mês)</t>
  </si>
  <si>
    <t>3. Veículos e Equipamentos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</si>
  <si>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</si>
  <si>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</si>
  <si>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</si>
  <si>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</si>
  <si>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</si>
  <si>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</si>
  <si>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</si>
  <si>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</si>
  <si>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</si>
  <si>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</si>
  <si>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</si>
  <si>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</si>
  <si>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</si>
  <si>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</si>
  <si>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</si>
  <si>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</si>
  <si>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</si>
  <si>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</si>
  <si>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</si>
  <si>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</si>
  <si>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</si>
  <si>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</si>
  <si>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</si>
  <si>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</si>
  <si>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</si>
  <si>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</si>
  <si>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</si>
  <si>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</si>
  <si>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</si>
  <si>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</si>
  <si>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</si>
  <si>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</si>
  <si>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</si>
  <si>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</si>
  <si>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</si>
  <si>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</si>
  <si>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</si>
  <si>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</si>
  <si>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</si>
  <si>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</si>
  <si>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</si>
  <si>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</si>
  <si>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</si>
  <si>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</si>
  <si>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</si>
  <si>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</si>
  <si>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</si>
  <si>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</si>
  <si>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</si>
  <si>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dos caminhões</t>
  </si>
  <si>
    <t>3.1.6. Pneus</t>
  </si>
  <si>
    <t>Número de recapagens por pneu</t>
  </si>
  <si>
    <t>Custo de recapagem</t>
  </si>
  <si>
    <t>Custo jg. compl. +  recap./ km rodado</t>
  </si>
  <si>
    <t>km/jogo</t>
  </si>
  <si>
    <t>Custo mensal com pneus</t>
  </si>
  <si>
    <t>Custo Mensal com Veículos e Equipamentos (R$/mês)</t>
  </si>
  <si>
    <t>4. Ferramentas e Materiais de Consumo</t>
  </si>
  <si>
    <t>Recipiente térmico para água (5L)</t>
  </si>
  <si>
    <t>Pá de Concha</t>
  </si>
  <si>
    <t>Vassoura</t>
  </si>
  <si>
    <t>Custo Mensal com Ferramentas e Materiais de Consumo (R$/mês)</t>
  </si>
  <si>
    <t>5. Monitoramento da Frota</t>
  </si>
  <si>
    <t>Implantação dos equipamentos de monitoramento</t>
  </si>
  <si>
    <t>cj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</si>
  <si>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</si>
  <si>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</si>
  <si>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</si>
  <si>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</si>
  <si>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</si>
  <si>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</si>
  <si>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</si>
  <si>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</si>
  <si>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(R$/mês)</t>
  </si>
  <si>
    <t xml:space="preserve">Quantidade média de resíduos coletados por mês: </t>
  </si>
  <si>
    <t>toneladas</t>
  </si>
  <si>
    <t>PREÇO POR TONELADA COLETADA:  [A/B]</t>
  </si>
  <si>
    <t>R$/tonelada</t>
  </si>
  <si>
    <t>1.2. Coleta seletiva</t>
  </si>
  <si>
    <t>Fator de utilização da frota(FUF)</t>
  </si>
  <si>
    <t>3.2.1. Depreciação</t>
  </si>
  <si>
    <t>3.2.2. Remuneração do Capital</t>
  </si>
  <si>
    <t>PREÇO TOTAL MENSAL COM O TRANSBORDO</t>
  </si>
  <si>
    <t>Total de mão-de-obra (estação de transbordo)</t>
  </si>
  <si>
    <t>Considerando 8 horas semanais (8/44)</t>
  </si>
  <si>
    <t>2.1. Uniformes e EPI's</t>
  </si>
  <si>
    <t>3.3.1. Depreciação</t>
  </si>
  <si>
    <t>Vida útil do container</t>
  </si>
  <si>
    <t>Idade do container</t>
  </si>
  <si>
    <t>Depreciação do container</t>
  </si>
  <si>
    <t>Depreciação mensal do container</t>
  </si>
  <si>
    <t>Idade da retroescavadeira</t>
  </si>
  <si>
    <t>Depreciação da retroescavadeira</t>
  </si>
  <si>
    <t>Total por unidade</t>
  </si>
  <si>
    <t>Total da estação de transbordo</t>
  </si>
  <si>
    <t>3.3.2. Remuneração do Capital</t>
  </si>
  <si>
    <t>Custo do container</t>
  </si>
  <si>
    <t>Valor do equipamento proposto (V0)</t>
  </si>
  <si>
    <t>Investimento médio total do container</t>
  </si>
  <si>
    <t>Custo da retroescavadeira</t>
  </si>
  <si>
    <t>Valor da retroescavadeira proposto (V0)</t>
  </si>
  <si>
    <t>Investimento médio total da retroescavadeira</t>
  </si>
  <si>
    <t xml:space="preserve">Remuneração mensal de capital da retroescavadeira </t>
  </si>
  <si>
    <t>3.3.3. Impostos e Seguros</t>
  </si>
  <si>
    <t>3.3.4. Consumos</t>
  </si>
  <si>
    <t>3.3.5. Manutenção</t>
  </si>
  <si>
    <t>Custo de manutenção dos equipamentos</t>
  </si>
  <si>
    <t>3.3.6. Pneus</t>
  </si>
  <si>
    <t xml:space="preserve">Custo do jogo de pneus </t>
  </si>
  <si>
    <t>Equipamento Prensa</t>
  </si>
  <si>
    <t>Maquina Retroescavadeira</t>
  </si>
  <si>
    <t>Fator de utilização (FU)</t>
  </si>
  <si>
    <t>Piso da categoria (2)</t>
  </si>
  <si>
    <t>Salário mínimo nacional (1)</t>
  </si>
  <si>
    <t>1.3. Reciclador Turno do Dia</t>
  </si>
  <si>
    <t>1.4. Operador Turno do Dia</t>
  </si>
  <si>
    <t>Reciclador</t>
  </si>
  <si>
    <t xml:space="preserve">Horas Trabalhadas Mensal </t>
  </si>
  <si>
    <t>h/l</t>
  </si>
  <si>
    <t>h</t>
  </si>
  <si>
    <t>Custo de óleo do motor /1.000 h trabalhadas</t>
  </si>
  <si>
    <t>l/1.000 h</t>
  </si>
  <si>
    <t>Custo de óleo da transmissão /1.000 h</t>
  </si>
  <si>
    <t>Custo de óleo hidráulico / 1.000 h</t>
  </si>
  <si>
    <t>Custo de graxa /1.000 h trabalhadas</t>
  </si>
  <si>
    <t>kg/1.000 h</t>
  </si>
  <si>
    <t>Custo com consumos/h trabalhadas</t>
  </si>
  <si>
    <t>R$/h trabalhadas</t>
  </si>
  <si>
    <t xml:space="preserve">Custo do jogo de pneus Dianteiros </t>
  </si>
  <si>
    <t xml:space="preserve">Custo do jogo de pneus Traseiros </t>
  </si>
  <si>
    <t xml:space="preserve">Custo de recapagem pneus Dianteiros </t>
  </si>
  <si>
    <t xml:space="preserve">Custo de recapagem pneus  Traseiros </t>
  </si>
  <si>
    <t>Custo jg. compl. +  recap./ h Trabalhadas</t>
  </si>
  <si>
    <t>h/jogo</t>
  </si>
  <si>
    <t>Horas</t>
  </si>
  <si>
    <t>1.5.  Transporte para Destino final</t>
  </si>
  <si>
    <t>DMT aterro Candiota :</t>
  </si>
  <si>
    <t>PREÇO TOTAL MENSAL COM O DESTINO FINAL</t>
  </si>
  <si>
    <t>PREÇO TOTAL MENSAL DO TRANSPORTE C/BDI</t>
  </si>
  <si>
    <t>PREÇO TOTAL MENSAL DA DESTINAÇÃO SEM BDI</t>
  </si>
  <si>
    <t>3.4.1. Depreciação</t>
  </si>
  <si>
    <t>Custo de aquisição do chassis Romeu</t>
  </si>
  <si>
    <t>Vida útil do veículo</t>
  </si>
  <si>
    <t>Depreciação do veículo</t>
  </si>
  <si>
    <t>Depreciação mensal do chassis</t>
  </si>
  <si>
    <t>Custo de aquisição do conjunto Julieta</t>
  </si>
  <si>
    <t>Vida útil da Julieta container</t>
  </si>
  <si>
    <t>Idade da Julieta container</t>
  </si>
  <si>
    <t>Depreciação da Julieta container</t>
  </si>
  <si>
    <t>Depreciação mensal da Julieta</t>
  </si>
  <si>
    <t>3.4.2. Remuneração do Capital</t>
  </si>
  <si>
    <t xml:space="preserve">Custo de aquisição do conjunto Julieta </t>
  </si>
  <si>
    <t>Valor do conjunto  proposto (V0)</t>
  </si>
  <si>
    <t xml:space="preserve">Investimento médio total do conjunto </t>
  </si>
  <si>
    <t>Remuneração mensal de capital da Julieta</t>
  </si>
  <si>
    <t>3.4.3. Impostos e Seguros</t>
  </si>
  <si>
    <t>3.4.4. Consumos</t>
  </si>
  <si>
    <t>3.4.5. Manutenção</t>
  </si>
  <si>
    <t>3.4.6. Pneus</t>
  </si>
  <si>
    <t>6. Deposição no Aterro</t>
  </si>
  <si>
    <t>Valor de deposição</t>
  </si>
  <si>
    <t>ton</t>
  </si>
  <si>
    <t>7. Benefícios e Despesas Indiretas - BDI</t>
  </si>
  <si>
    <t>Benefícios e despesas indiretas sobre o valor de deposição (s/lucro)</t>
  </si>
  <si>
    <t>CRC/RS 78.424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</si>
  <si>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</si>
  <si>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</si>
  <si>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</si>
  <si>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</si>
  <si>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</si>
  <si>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</si>
  <si>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</si>
  <si>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</si>
  <si>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</si>
  <si>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</si>
  <si>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</si>
  <si>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</si>
  <si>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</si>
  <si>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</si>
  <si>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</si>
  <si>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</si>
  <si>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</si>
  <si>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</si>
  <si>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</si>
  <si>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</si>
  <si>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</si>
  <si>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</si>
  <si>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</si>
  <si>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</si>
  <si>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</si>
  <si>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</si>
  <si>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</si>
  <si>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</si>
  <si>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</si>
  <si>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</si>
  <si>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</si>
  <si>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</si>
  <si>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</si>
  <si>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</si>
  <si>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</si>
  <si>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</si>
  <si>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</si>
  <si>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</si>
  <si>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</si>
  <si>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</si>
  <si>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</si>
  <si>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</si>
  <si>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</si>
  <si>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</si>
  <si>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</si>
  <si>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</si>
  <si>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</si>
  <si>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</si>
  <si>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</si>
  <si>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</si>
  <si>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</si>
  <si>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</si>
  <si>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</si>
  <si>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</si>
  <si>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</si>
  <si>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CÁLCULO DAS VERBAS INDENIZATÓRIAS DOS EMPREGADOS NO SETOR DE COLETA DE RESÍDUOS SÓLIDOS URBANOS</t>
  </si>
  <si>
    <t>Para preencher esta planilha siga os passos 1 a 5:</t>
  </si>
  <si>
    <r>
      <rPr>
        <b/>
        <sz val="12"/>
        <rFont val="Arial"/>
        <family val="2"/>
      </rPr>
      <t>1.</t>
    </r>
    <r>
      <rPr>
        <sz val="12"/>
        <rFont val="Arial"/>
        <family val="2"/>
      </rPr>
      <t xml:space="preserve"> Acesse o Portal do CAGED no link </t>
    </r>
    <r>
      <rPr>
        <sz val="12"/>
        <color rgb="FF0070C0"/>
        <rFont val="Arial"/>
        <family val="2"/>
      </rPr>
      <t xml:space="preserve">http://bi.mte.gov.br/cagedestabelecimento/pages/consulta.xhtml </t>
    </r>
  </si>
  <si>
    <r>
      <rPr>
        <b/>
        <sz val="12"/>
        <rFont val="Arial"/>
        <family val="2"/>
      </rPr>
      <t>2.</t>
    </r>
    <r>
      <rPr>
        <sz val="12"/>
        <rFont val="Arial"/>
        <family val="2"/>
      </rPr>
      <t xml:space="preserve"> Na </t>
    </r>
    <r>
      <rPr>
        <i/>
        <sz val="12"/>
        <rFont val="Arial"/>
        <family val="2"/>
      </rPr>
      <t>Especificação da Consulta</t>
    </r>
    <r>
      <rPr>
        <sz val="12"/>
        <rFont val="Arial"/>
        <family val="2"/>
      </rPr>
      <t xml:space="preserve">, selecione </t>
    </r>
    <r>
      <rPr>
        <b/>
        <i/>
        <sz val="12"/>
        <rFont val="Arial"/>
        <family val="2"/>
      </rPr>
      <t>"Demonstrativo por período"</t>
    </r>
    <r>
      <rPr>
        <sz val="12"/>
        <rFont val="Arial"/>
        <family val="2"/>
      </rPr>
      <t xml:space="preserve"> e informe as competências relativas ao período Inicial e Final (últimos 12 meses)</t>
    </r>
  </si>
  <si>
    <r>
      <rPr>
        <b/>
        <sz val="12"/>
        <rFont val="Arial"/>
        <family val="2"/>
      </rPr>
      <t>3.</t>
    </r>
    <r>
      <rPr>
        <sz val="12"/>
        <rFont val="Arial"/>
        <family val="2"/>
      </rPr>
      <t xml:space="preserve"> Em </t>
    </r>
    <r>
      <rPr>
        <i/>
        <sz val="12"/>
        <rFont val="Arial"/>
        <family val="2"/>
      </rPr>
      <t>Nível Geográfico</t>
    </r>
    <r>
      <rPr>
        <sz val="12"/>
        <rFont val="Arial"/>
        <family val="2"/>
      </rPr>
      <t xml:space="preserve"> selecione </t>
    </r>
    <r>
      <rPr>
        <b/>
        <i/>
        <sz val="12"/>
        <rFont val="Arial"/>
        <family val="2"/>
      </rPr>
      <t>"Unidade da Federação"</t>
    </r>
    <r>
      <rPr>
        <sz val="12"/>
        <rFont val="Arial"/>
        <family val="2"/>
      </rPr>
      <t xml:space="preserve"> e marque a opção </t>
    </r>
    <r>
      <rPr>
        <b/>
        <i/>
        <sz val="12"/>
        <rFont val="Arial"/>
        <family val="2"/>
      </rPr>
      <t>"Rio Grande do Sul"</t>
    </r>
  </si>
  <si>
    <r>
      <rPr>
        <b/>
        <sz val="12"/>
        <rFont val="Arial"/>
        <family val="2"/>
      </rPr>
      <t>4.</t>
    </r>
    <r>
      <rPr>
        <sz val="12"/>
        <rFont val="Arial"/>
        <family val="2"/>
      </rPr>
      <t xml:space="preserve"> Em </t>
    </r>
    <r>
      <rPr>
        <i/>
        <sz val="12"/>
        <rFont val="Arial"/>
        <family val="2"/>
      </rPr>
      <t>Nível Setorial</t>
    </r>
    <r>
      <rPr>
        <sz val="12"/>
        <rFont val="Arial"/>
        <family val="2"/>
      </rPr>
      <t xml:space="preserve"> selecione </t>
    </r>
    <r>
      <rPr>
        <b/>
        <i/>
        <sz val="12"/>
        <rFont val="Arial"/>
        <family val="2"/>
      </rPr>
      <t>"Classe de atividade econômica segundo a classificação CNAE – versão 2.0 (669 categorias)"</t>
    </r>
    <r>
      <rPr>
        <sz val="12"/>
        <rFont val="Arial"/>
        <family val="2"/>
      </rPr>
      <t xml:space="preserve"> e marque a opção "</t>
    </r>
    <r>
      <rPr>
        <b/>
        <i/>
        <sz val="12"/>
        <rFont val="Arial"/>
        <family val="2"/>
      </rPr>
      <t>38114 – Coleta de Resíduos Não-Perigosos"</t>
    </r>
  </si>
  <si>
    <r>
      <rPr>
        <b/>
        <sz val="12"/>
        <rFont val="Arial"/>
        <family val="2"/>
      </rPr>
      <t>5.</t>
    </r>
    <r>
      <rPr>
        <sz val="12"/>
        <rFont val="Arial"/>
        <family val="2"/>
      </rPr>
      <t xml:space="preserve"> Clique em </t>
    </r>
    <r>
      <rPr>
        <i/>
        <sz val="12"/>
        <rFont val="Arial"/>
        <family val="2"/>
      </rPr>
      <t>Gerar Relatório</t>
    </r>
  </si>
  <si>
    <r>
      <rPr>
        <b/>
        <sz val="12"/>
        <rFont val="Arial"/>
        <family val="2"/>
      </rPr>
      <t>6.</t>
    </r>
    <r>
      <rPr>
        <sz val="12"/>
        <rFont val="Arial"/>
        <family val="2"/>
      </rPr>
      <t xml:space="preserve"> Preencha as células em amarelo</t>
    </r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</si>
  <si>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</si>
  <si>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</si>
  <si>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</si>
  <si>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</si>
  <si>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</si>
  <si>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</si>
  <si>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</si>
  <si>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</si>
  <si>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</si>
  <si>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</si>
  <si>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</si>
  <si>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</si>
  <si>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</si>
  <si>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Indicadores:</t>
  </si>
  <si>
    <t>Rotatividade</t>
  </si>
  <si>
    <t>Demitidos s/ Justa Causa em relação ao Estoque Médio</t>
  </si>
  <si>
    <t>Dias ano</t>
  </si>
  <si>
    <t>1/3 de férias (dias)</t>
  </si>
  <si>
    <t>Férias (dias)</t>
  </si>
  <si>
    <t>13º Salário (dias)</t>
  </si>
  <si>
    <t>Estoque Médio</t>
  </si>
  <si>
    <t>Multa FGTS</t>
  </si>
  <si>
    <t>Dias de Aviso prévio</t>
  </si>
  <si>
    <t>ROTATIVIDADE TEMPORAL( MESES):</t>
  </si>
  <si>
    <t>4. Composição do B.D.I.  (Benefícios e Despesas Indiretas)</t>
  </si>
  <si>
    <t>Item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</si>
  <si>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</si>
  <si>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</si>
  <si>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</si>
  <si>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</si>
  <si>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</si>
  <si>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</si>
  <si>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</si>
  <si>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</si>
  <si>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</si>
  <si>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</si>
  <si>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</si>
  <si>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</si>
  <si>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</si>
  <si>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</si>
  <si>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</si>
  <si>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B.D.I.:</t>
  </si>
  <si>
    <t>{[(1+AC+SRG) x (1+L) x (1+DF)] / (1-T)} -1</t>
  </si>
  <si>
    <t>Resultado do cálculo do BDI:</t>
  </si>
  <si>
    <t>4. Composição do B.D.I.  Sem Lucro (Benefícios e Despesas Indiretas)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</si>
  <si>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</si>
  <si>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</si>
  <si>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</si>
  <si>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</si>
  <si>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</si>
  <si>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b/>
        <i/>
        <sz val="12"/>
        <rFont val="Arial"/>
        <family val="2"/>
      </rPr>
      <t>J</t>
    </r>
    <r>
      <rPr>
        <b/>
        <i/>
        <vertAlign val="subscript"/>
        <sz val="11"/>
        <rFont val="Arial"/>
        <family val="2"/>
      </rPr>
      <t>m</t>
    </r>
    <r>
      <rPr>
        <i/>
        <sz val="12"/>
        <rFont val="Arial"/>
        <family val="2"/>
      </rPr>
      <t xml:space="preserve"> =</t>
    </r>
  </si>
  <si>
    <r>
      <rPr>
        <i/>
        <sz val="12"/>
        <rFont val="Arial"/>
        <family val="2"/>
      </rPr>
      <t>I</t>
    </r>
    <r>
      <rPr>
        <i/>
        <vertAlign val="superscript"/>
        <sz val="12"/>
        <rFont val="Arial"/>
        <family val="2"/>
      </rPr>
      <t>m</t>
    </r>
    <r>
      <rPr>
        <i/>
        <sz val="12"/>
        <rFont val="Arial"/>
        <family val="2"/>
      </rPr>
      <t xml:space="preserve">  x    i</t>
    </r>
  </si>
  <si>
    <r>
      <rPr>
        <b/>
        <sz val="12"/>
        <rFont val="Arial"/>
        <family val="2"/>
      </rPr>
      <t>I</t>
    </r>
    <r>
      <rPr>
        <b/>
        <vertAlign val="subscript"/>
        <sz val="12"/>
        <rFont val="Arial"/>
        <family val="2"/>
      </rPr>
      <t>m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=</t>
    </r>
  </si>
  <si>
    <r>
      <rPr>
        <i/>
        <sz val="12"/>
        <rFont val="Arial"/>
        <family val="2"/>
      </rPr>
      <t>(V</t>
    </r>
    <r>
      <rPr>
        <i/>
        <vertAlign val="subscript"/>
        <sz val="12"/>
        <rFont val="Arial"/>
        <family val="2"/>
      </rPr>
      <t>o</t>
    </r>
    <r>
      <rPr>
        <i/>
        <sz val="12"/>
        <rFont val="Arial"/>
        <family val="2"/>
      </rPr>
      <t xml:space="preserve"> - V</t>
    </r>
    <r>
      <rPr>
        <i/>
        <vertAlign val="subscript"/>
        <sz val="12"/>
        <rFont val="Arial"/>
        <family val="2"/>
      </rPr>
      <t>r</t>
    </r>
    <r>
      <rPr>
        <i/>
        <sz val="12"/>
        <rFont val="Arial"/>
        <family val="2"/>
      </rPr>
      <t>) x</t>
    </r>
  </si>
  <si>
    <t>(n +1)</t>
  </si>
  <si>
    <t>+</t>
  </si>
  <si>
    <r>
      <rPr>
        <i/>
        <sz val="12"/>
        <rFont val="Arial"/>
        <family val="2"/>
      </rPr>
      <t>V</t>
    </r>
    <r>
      <rPr>
        <i/>
        <vertAlign val="subscript"/>
        <sz val="12"/>
        <rFont val="Arial"/>
        <family val="2"/>
      </rPr>
      <t>r</t>
    </r>
  </si>
  <si>
    <t>2n</t>
  </si>
  <si>
    <r>
      <rPr>
        <b/>
        <i/>
        <sz val="12"/>
        <color theme="1"/>
        <rFont val="Arial"/>
        <family val="2"/>
      </rPr>
      <t>J</t>
    </r>
    <r>
      <rPr>
        <b/>
        <i/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</si>
  <si>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rPr>
        <b/>
        <i/>
        <sz val="12"/>
        <color theme="1"/>
        <rFont val="Arial"/>
        <family val="2"/>
      </rPr>
      <t xml:space="preserve">i </t>
    </r>
    <r>
      <rPr>
        <sz val="12"/>
        <color theme="1"/>
        <rFont val="Arial"/>
        <family val="2"/>
      </rPr>
      <t>= taxa de juros do mercado (sugere-se adotar a taxa SELIC)</t>
    </r>
  </si>
  <si>
    <r>
      <rPr>
        <b/>
        <i/>
        <sz val="12"/>
        <color theme="1"/>
        <rFont val="Arial"/>
        <family val="2"/>
      </rPr>
      <t>I</t>
    </r>
    <r>
      <rPr>
        <b/>
        <i/>
        <vertAlign val="subscript"/>
        <sz val="12"/>
        <color theme="1"/>
        <rFont val="Arial"/>
        <family val="2"/>
      </rPr>
      <t>m</t>
    </r>
    <r>
      <rPr>
        <b/>
        <i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= investimento médio</t>
    </r>
  </si>
  <si>
    <r>
      <rPr>
        <b/>
        <i/>
        <sz val="12"/>
        <color theme="1"/>
        <rFont val="Arial"/>
        <family val="2"/>
      </rPr>
      <t>V</t>
    </r>
    <r>
      <rPr>
        <b/>
        <i/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</si>
  <si>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rPr>
        <b/>
        <i/>
        <sz val="12"/>
        <color theme="1"/>
        <rFont val="Arial"/>
        <family val="2"/>
      </rPr>
      <t>V</t>
    </r>
    <r>
      <rPr>
        <b/>
        <i/>
        <vertAlign val="subscript"/>
        <sz val="12"/>
        <color indexed="8"/>
        <rFont val="Arial"/>
        <family val="2"/>
      </rPr>
      <t>r</t>
    </r>
    <r>
      <rPr>
        <b/>
        <i/>
        <sz val="12"/>
        <color indexed="8"/>
        <rFont val="Arial"/>
        <family val="2"/>
      </rPr>
      <t xml:space="preserve"> </t>
    </r>
    <r>
      <rPr>
        <sz val="12"/>
        <color indexed="8"/>
        <rFont val="Arial"/>
        <family val="2"/>
      </rPr>
      <t>= valor residual do bem</t>
    </r>
  </si>
  <si>
    <r>
      <rPr>
        <b/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vida útil do bem em anos</t>
    </r>
  </si>
  <si>
    <t>7. Dimensionamento da frota</t>
  </si>
  <si>
    <t>Indicador</t>
  </si>
  <si>
    <t xml:space="preserve">Unidade 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</si>
  <si>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</si>
  <si>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</si>
  <si>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</si>
  <si>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</si>
  <si>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</si>
  <si>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</si>
  <si>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</si>
  <si>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Número de dias de coleta por semana (Dc)</t>
  </si>
  <si>
    <t>Quantitativo diário de coleta (Qc)</t>
  </si>
  <si>
    <t>Densidade RSU compactado</t>
  </si>
  <si>
    <t>Kg/m³</t>
  </si>
  <si>
    <t>Tipo de Veículo (1 = toco)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</si>
  <si>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</si>
  <si>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</si>
  <si>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</si>
  <si>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</si>
  <si>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</si>
  <si>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</si>
  <si>
    <t xml:space="preserve">Bárbara Herrmann </t>
  </si>
  <si>
    <t xml:space="preserve">Débora Herrmann </t>
  </si>
  <si>
    <t>Estoque recuperado início do Período 01-01-2019</t>
  </si>
  <si>
    <t>Estoque recuperado final do Período 31-12-2019</t>
  </si>
  <si>
    <t>Variação Emprego Absoluta de 2026</t>
  </si>
  <si>
    <t>Acordo</t>
  </si>
  <si>
    <t>Reincidência de FGTS sobre aviso prévio indenizado</t>
  </si>
  <si>
    <t>Jaqueta com refletivo (NBR 15.292)</t>
  </si>
  <si>
    <t>Capa de chuva amarela com refletivo</t>
  </si>
  <si>
    <t>Colete refletivo</t>
  </si>
  <si>
    <t>Custo do jogo de pneus 275/80 R 22,5</t>
  </si>
  <si>
    <t>Calça 100% algodão dois bolsos faixa refletiva em cada perna</t>
  </si>
  <si>
    <t>Camiseta 100% algodão sem estampa</t>
  </si>
  <si>
    <t>Boné árabe de segurança</t>
  </si>
  <si>
    <r>
      <rPr>
        <b/>
        <sz val="11"/>
        <rFont val="Arial"/>
        <family val="2"/>
      </rPr>
      <t xml:space="preserve">A. </t>
    </r>
    <r>
      <rPr>
        <sz val="11"/>
        <rFont val="Arial"/>
        <family val="2"/>
      </rPr>
      <t>Foram consideradas 4,58 viagens de ida/volta para o aterro sanitário por mês</t>
    </r>
  </si>
  <si>
    <t>Mão de obra: O motorista envolvido na operação foi considerado junto a coleta Organica e Coleta Seletiva  e o tempo estimado para o transporte computado no quadro de freqüências.</t>
  </si>
  <si>
    <t>Custo de aquisição do container de no mínimo 32m³</t>
  </si>
  <si>
    <t>Operador</t>
  </si>
  <si>
    <t>1.3. Estaçaõ de Transbordo</t>
  </si>
  <si>
    <r>
      <t xml:space="preserve">Total </t>
    </r>
    <r>
      <rPr>
        <b/>
        <u/>
        <sz val="11"/>
        <rFont val="Arial"/>
        <family val="2"/>
      </rPr>
      <t>(R$)</t>
    </r>
  </si>
  <si>
    <r>
      <rPr>
        <b/>
        <sz val="11"/>
        <rFont val="Arial"/>
        <family val="2"/>
      </rPr>
      <t>1.</t>
    </r>
    <r>
      <rPr>
        <sz val="11"/>
        <rFont val="Arial"/>
        <family val="2"/>
      </rPr>
      <t xml:space="preserve"> Preencher somente células em amarelo</t>
    </r>
  </si>
  <si>
    <r>
      <rPr>
        <b/>
        <sz val="11"/>
        <rFont val="Arial"/>
        <family val="2"/>
      </rPr>
      <t xml:space="preserve">2. </t>
    </r>
    <r>
      <rPr>
        <sz val="11"/>
        <rFont val="Arial"/>
        <family val="2"/>
      </rPr>
      <t>As células azuis deverão ter seus valores preenchidos em outra planilha do arquivo.</t>
    </r>
  </si>
  <si>
    <r>
      <t>3.1. Veículo Coletor Compactador</t>
    </r>
    <r>
      <rPr>
        <b/>
        <i/>
        <sz val="11"/>
        <color rgb="FFFF0000"/>
        <rFont val="Arial"/>
        <family val="2"/>
      </rPr>
      <t xml:space="preserve"> 15</t>
    </r>
    <r>
      <rPr>
        <b/>
        <i/>
        <sz val="11"/>
        <rFont val="Arial"/>
        <family val="2"/>
      </rPr>
      <t xml:space="preserve"> m³(mínimo)</t>
    </r>
  </si>
  <si>
    <t>1.4 Central de Triagem</t>
  </si>
  <si>
    <t>PREÇO TOTAL MENSAL COM CENTRAL DE TRIAGEM</t>
  </si>
  <si>
    <t>Total por Reciclador:</t>
  </si>
  <si>
    <t>Total por Operador:</t>
  </si>
  <si>
    <r>
      <t xml:space="preserve">Total </t>
    </r>
    <r>
      <rPr>
        <b/>
        <u/>
        <sz val="11"/>
        <color theme="1"/>
        <rFont val="Arial"/>
        <family val="2"/>
      </rPr>
      <t>(R$)</t>
    </r>
  </si>
  <si>
    <t>2.1. Uniformes e EPIs para Reciclador</t>
  </si>
  <si>
    <r>
      <t>3.1. Veículo Coletor Compactador</t>
    </r>
    <r>
      <rPr>
        <b/>
        <i/>
        <sz val="11"/>
        <color rgb="FFFF0000"/>
        <rFont val="Arial"/>
        <family val="2"/>
      </rPr>
      <t xml:space="preserve"> </t>
    </r>
    <r>
      <rPr>
        <b/>
        <i/>
        <sz val="11"/>
        <rFont val="Arial"/>
        <family val="2"/>
      </rPr>
      <t>15 m³(mínimo)</t>
    </r>
  </si>
  <si>
    <t>3.3. Retroescavadeira</t>
  </si>
  <si>
    <t>Custo de aquisição de retroescavadeira</t>
  </si>
  <si>
    <t>Vida útil retroescavadeira</t>
  </si>
  <si>
    <t>Depreciação mensal da retroescavadeira</t>
  </si>
  <si>
    <t>Total por máquina</t>
  </si>
  <si>
    <t>Total da Frota</t>
  </si>
  <si>
    <t>Seguro de Responsabilidade Civil (RC) para uma retroescavadeira</t>
  </si>
  <si>
    <t>Custo de óleo diesel por hora</t>
  </si>
  <si>
    <t>R$/h trabalhada</t>
  </si>
  <si>
    <t xml:space="preserve">3.4. Conjunto com Romeu e Julieta tipo "roll -on" e containers para destino final </t>
  </si>
  <si>
    <t>3.2. Estacão de transbordo</t>
  </si>
  <si>
    <t>Remuneração mensal de capital do container</t>
  </si>
  <si>
    <r>
      <t xml:space="preserve">2ª 7,5h + 4ª 7h + 6ª 7h = 21,5h /3 = Média diária de </t>
    </r>
    <r>
      <rPr>
        <sz val="11"/>
        <color rgb="FFFF0000"/>
        <rFont val="Arial"/>
        <family val="2"/>
      </rPr>
      <t xml:space="preserve">7,1667 </t>
    </r>
    <r>
      <rPr>
        <sz val="11"/>
        <rFont val="Arial"/>
        <family val="2"/>
      </rPr>
      <t>horas de coleta (7,1667x3/44)</t>
    </r>
  </si>
  <si>
    <t>3ª 7h + 5ª 7h + sábado 7h = 21h/3 = Média dária de 7 horas de coleta (7 x 3/44)</t>
  </si>
  <si>
    <r>
      <t xml:space="preserve">A. </t>
    </r>
    <r>
      <rPr>
        <sz val="11"/>
        <rFont val="Arial"/>
        <family val="2"/>
      </rPr>
      <t>Para o cálculo foi considerado que, para cada zona de recolhimento, o caminhão partiria do ponto inicial localizado junto ao acesso principal de Santa Clara do Sul, realizaria a rota de coleta e retornaria ao ponto de partida.</t>
    </r>
  </si>
  <si>
    <r>
      <rPr>
        <b/>
        <sz val="11"/>
        <rFont val="Arial"/>
        <family val="2"/>
      </rPr>
      <t>A.</t>
    </r>
    <r>
      <rPr>
        <sz val="11"/>
        <rFont val="Arial"/>
        <family val="2"/>
      </rPr>
      <t xml:space="preserve"> Para o cálculo foi considerado que, para cada zona de recolhimento, o caminhão partiria do ponto inicial localizado junto ao acesso principal de Santa Clara do Sul, realizaria a rota de coleta e retornaria ao ponto de partida.</t>
    </r>
  </si>
  <si>
    <t xml:space="preserve">76,23 km </t>
  </si>
  <si>
    <t>Distância Média da Estação:</t>
  </si>
  <si>
    <r>
      <rPr>
        <b/>
        <sz val="11"/>
        <rFont val="Arial"/>
        <family val="2"/>
      </rPr>
      <t xml:space="preserve">C. </t>
    </r>
    <r>
      <rPr>
        <sz val="11"/>
        <rFont val="Arial"/>
        <family val="2"/>
      </rPr>
      <t>Coleta Organica : 1</t>
    </r>
    <r>
      <rPr>
        <i/>
        <sz val="11"/>
        <rFont val="Arial"/>
        <family val="2"/>
      </rPr>
      <t xml:space="preserve"> x 42 km + 1 x 70 + 1x 52,6 x 4 semanas =</t>
    </r>
    <r>
      <rPr>
        <b/>
        <i/>
        <sz val="11"/>
        <rFont val="Arial"/>
        <family val="2"/>
      </rPr>
      <t xml:space="preserve"> 658,4 km/mês</t>
    </r>
  </si>
  <si>
    <r>
      <t xml:space="preserve">D. </t>
    </r>
    <r>
      <rPr>
        <sz val="11"/>
        <rFont val="Arial"/>
        <family val="2"/>
      </rPr>
      <t>Deslocamento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Coleta Organica : 4  X 2 viagem (ida e volta de 76,23 Km) = 609,84 km x 4 semanas = </t>
    </r>
    <r>
      <rPr>
        <b/>
        <sz val="11"/>
        <rFont val="Arial"/>
        <family val="2"/>
      </rPr>
      <t>2.439,36 km/mês</t>
    </r>
  </si>
  <si>
    <r>
      <t>E</t>
    </r>
    <r>
      <rPr>
        <sz val="11"/>
        <rFont val="Arial"/>
        <family val="2"/>
      </rPr>
      <t xml:space="preserve">. Coleta Organica 658,4 km  + Deslocamento Coleta Organica 2.439,36 km  = </t>
    </r>
    <r>
      <rPr>
        <b/>
        <sz val="11"/>
        <rFont val="Arial"/>
        <family val="2"/>
      </rPr>
      <t>3.097,76 km/mês</t>
    </r>
  </si>
  <si>
    <r>
      <t xml:space="preserve">C. </t>
    </r>
    <r>
      <rPr>
        <sz val="11"/>
        <rFont val="Arial"/>
        <family val="2"/>
      </rPr>
      <t xml:space="preserve">Coleta Seletiva urbana e rural  : 1 x 112 km + 1 x 45 + 1x 45 x 4 semanas = </t>
    </r>
    <r>
      <rPr>
        <b/>
        <sz val="11"/>
        <rFont val="Arial"/>
        <family val="2"/>
      </rPr>
      <t>808,00 km/mês</t>
    </r>
  </si>
  <si>
    <r>
      <t xml:space="preserve">D. </t>
    </r>
    <r>
      <rPr>
        <sz val="11"/>
        <rFont val="Arial"/>
        <family val="2"/>
      </rPr>
      <t>Deslocamento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Coleta Seletiva : 3  X 2 viagem (ida e volta de 76,23 Km) = 457,38 km x 4 semanas = </t>
    </r>
    <r>
      <rPr>
        <b/>
        <sz val="11"/>
        <rFont val="Arial"/>
        <family val="2"/>
      </rPr>
      <t>1.829,52 km/mês</t>
    </r>
  </si>
  <si>
    <r>
      <t>E</t>
    </r>
    <r>
      <rPr>
        <sz val="11"/>
        <rFont val="Arial"/>
        <family val="2"/>
      </rPr>
      <t xml:space="preserve">. Coleta seletiva 808,00 km  + Deslocamento Coleta seletiva 1.829,52 km  = </t>
    </r>
    <r>
      <rPr>
        <b/>
        <sz val="11"/>
        <rFont val="Arial"/>
        <family val="2"/>
      </rPr>
      <t>2.637,52 km/mês</t>
    </r>
  </si>
  <si>
    <t>243,33 km</t>
  </si>
  <si>
    <r>
      <t xml:space="preserve">B. </t>
    </r>
    <r>
      <rPr>
        <sz val="11"/>
        <rFont val="Arial"/>
        <family val="2"/>
      </rPr>
      <t>A distância de transporte considerada foi a média de 3 aterros sanitários constante no Projeto Básico.</t>
    </r>
  </si>
  <si>
    <r>
      <t xml:space="preserve">B. </t>
    </r>
    <r>
      <rPr>
        <sz val="11"/>
        <rFont val="Arial"/>
        <family val="2"/>
      </rPr>
      <t>A distância para o transporte foi considerada a média de três estações de transbordo conforme Projeto Básico.</t>
    </r>
  </si>
  <si>
    <r>
      <rPr>
        <b/>
        <sz val="11"/>
        <rFont val="Arial"/>
        <family val="2"/>
      </rPr>
      <t>C. 4,58</t>
    </r>
    <r>
      <rPr>
        <i/>
        <sz val="11"/>
        <rFont val="Arial"/>
        <family val="2"/>
      </rPr>
      <t xml:space="preserve"> viagens/mês x (243,33km ida + 243,33km volta) x 4,58 mes =</t>
    </r>
    <r>
      <rPr>
        <b/>
        <i/>
        <sz val="11"/>
        <rFont val="Arial"/>
        <family val="2"/>
      </rPr>
      <t xml:space="preserve"> 2.228,90 km/mês</t>
    </r>
  </si>
  <si>
    <t>Média:</t>
  </si>
  <si>
    <r>
      <rPr>
        <b/>
        <sz val="11"/>
        <rFont val="Arial"/>
        <family val="2"/>
      </rPr>
      <t xml:space="preserve">D. </t>
    </r>
    <r>
      <rPr>
        <i/>
        <sz val="11"/>
        <rFont val="Arial"/>
        <family val="2"/>
      </rPr>
      <t>Mão de obra: 2.228,9km/mês  / 40km/hora = 55,72 horas/mês viagens = 55,72 horas/mês</t>
    </r>
  </si>
  <si>
    <t>Considerando que serão utilizadas 55,72 horas mensais de mão de obra para o transporte, temos um fator de utilização de 25,33% para o presente.</t>
  </si>
  <si>
    <t>Santa Clara do Sul, 15 de setembro de 2026</t>
  </si>
  <si>
    <t xml:space="preserve">Planilha de Composição de Custos </t>
  </si>
  <si>
    <t>Contadora CRC/RS 101.655</t>
  </si>
  <si>
    <t>Contadora CRC/RS 103.842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</si>
</sst>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.000_-;\-* #,##0.000_-;_-* &quot;-&quot;??_-;_-@_-"/>
    <numFmt numFmtId="167" formatCode="_-* #,##0.00_-;\-* #,##0.00_-;_-* &quot;-&quot;?_-;_-@_-"/>
    <numFmt numFmtId="168" formatCode="0.0"/>
    <numFmt numFmtId="169" formatCode="_-* #,##0_-;\-* #,##0_-;_-* &quot;-&quot;?_-;_-@_-"/>
    <numFmt numFmtId="170" formatCode="0.0000"/>
    <numFmt numFmtId="171" formatCode="&quot;R$ &quot;#,##0.00"/>
    <numFmt numFmtId="172" formatCode="&quot;R$ &quot;#,##0.00_);\(&quot;R$ &quot;#,##0.00\)"/>
    <numFmt numFmtId="173" formatCode="_(* #,##0_);_(* \(#,##0\);_(* &quot;-&quot;??_);_(@_)"/>
    <numFmt numFmtId="174" formatCode="0.0000000%"/>
    <numFmt numFmtId="175" formatCode="_-&quot;R$&quot;\ * #,##0.000_-;\-&quot;R$&quot;\ * #,##0.000_-;_-&quot;R$&quot;\ * &quot;-&quot;??_-;_-@_-"/>
    <numFmt numFmtId="176" formatCode="_-* #,##0.00_-;\-* #,##0.00_-;_-* &quot;-&quot;???_-;_-@_-"/>
    <numFmt numFmtId="177" formatCode="_(* #,##0.0000_);_(* \(#,##0.0000\);_(* &quot;-&quot;??_);_(@_)"/>
    <numFmt numFmtId="178" formatCode="_(* #,##0.000_);_(* \(#,##0.000\);_(* &quot;-&quot;??_);_(@_)"/>
    <numFmt numFmtId="179" formatCode="_(* #,##0.0_);_(* \(#,##0.0\);_(* &quot;-&quot;??_);_(@_)"/>
    <numFmt numFmtId="180" formatCode="_-&quot;R$&quot;* #,##0.00_-;\-&quot;R$&quot;* #,##0.00_-;_-&quot;R$&quot;* &quot;-&quot;_-;_-@_-"/>
    <numFmt numFmtId="181" formatCode="0.0000%"/>
  </numFmts>
  <fonts count="68">
    <font>
      <sz val="10"/>
      <name val="Arial"/>
      <charset val="134"/>
    </font>
    <font>
      <b/>
      <sz val="12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i/>
      <sz val="12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b/>
      <u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3"/>
      <color theme="1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2"/>
      <color indexed="10"/>
      <name val="Calibri"/>
      <family val="2"/>
      <scheme val="minor"/>
    </font>
    <font>
      <b/>
      <u/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u/>
      <sz val="11"/>
      <color indexed="12"/>
      <name val="Arial"/>
      <family val="2"/>
    </font>
    <font>
      <sz val="12"/>
      <color rgb="FFFF0000"/>
      <name val="Calibri"/>
      <family val="2"/>
      <scheme val="minor"/>
    </font>
    <font>
      <b/>
      <i/>
      <sz val="12"/>
      <color theme="1"/>
      <name val="Arial"/>
      <family val="2"/>
    </font>
    <font>
      <b/>
      <i/>
      <vertAlign val="subscript"/>
      <sz val="12"/>
      <color theme="1"/>
      <name val="Arial"/>
      <family val="2"/>
    </font>
    <font>
      <sz val="12"/>
      <color rgb="FF0070C0"/>
      <name val="Arial"/>
      <family val="2"/>
    </font>
    <font>
      <b/>
      <i/>
      <vertAlign val="subscript"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vertAlign val="subscript"/>
      <sz val="12"/>
      <name val="Arial"/>
      <family val="2"/>
    </font>
    <font>
      <b/>
      <i/>
      <sz val="12"/>
      <name val="Arial"/>
      <family val="2"/>
    </font>
    <font>
      <i/>
      <vertAlign val="superscript"/>
      <sz val="12"/>
      <name val="Arial"/>
      <family val="2"/>
    </font>
    <font>
      <b/>
      <vertAlign val="subscript"/>
      <sz val="12"/>
      <name val="Arial"/>
      <family val="2"/>
    </font>
    <font>
      <b/>
      <i/>
      <vertAlign val="subscript"/>
      <sz val="11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Calibri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u/>
      <sz val="11"/>
      <color indexed="12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b/>
      <i/>
      <sz val="11"/>
      <color rgb="FFFF0000"/>
      <name val="Arial"/>
      <family val="2"/>
    </font>
    <font>
      <sz val="11"/>
      <color indexed="10"/>
      <name val="Arial"/>
      <family val="2"/>
    </font>
    <font>
      <sz val="11"/>
      <color rgb="FFFF0000"/>
      <name val="Arial"/>
      <family val="2"/>
    </font>
    <font>
      <b/>
      <sz val="11"/>
      <color theme="3"/>
      <name val="Arial"/>
      <family val="2"/>
    </font>
    <font>
      <sz val="12"/>
      <color theme="3"/>
      <name val="Calibri"/>
      <family val="2"/>
      <scheme val="minor"/>
    </font>
    <font>
      <sz val="11"/>
      <color theme="3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u/>
      <sz val="11"/>
      <color rgb="FF0000FF"/>
      <name val="Arial"/>
      <family val="2"/>
    </font>
    <font>
      <i/>
      <sz val="11"/>
      <color theme="1"/>
      <name val="Arial"/>
      <family val="2"/>
    </font>
    <font>
      <b/>
      <sz val="12"/>
      <color theme="3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FFFFFF"/>
      </patternFill>
    </fill>
    <fill>
      <patternFill patternType="solid">
        <fgColor rgb="FFC6D9F0"/>
        <bgColor rgb="FFC6D9F0"/>
      </patternFill>
    </fill>
    <fill>
      <patternFill patternType="solid">
        <fgColor indexed="43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 tint="-0.249977111117893"/>
        <bgColor rgb="FFBFBFBF"/>
      </patternFill>
    </fill>
    <fill>
      <patternFill patternType="solid">
        <fgColor rgb="FFFFFF00"/>
        <bgColor rgb="FFFFFFFF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249977111117893"/>
        <bgColor rgb="FFFFFFFF"/>
      </patternFill>
    </fill>
  </fills>
  <borders count="14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5" fontId="46" fillId="0" borderId="0" applyFont="0" applyFill="0" applyBorder="0" applyAlignment="0" applyProtection="0"/>
    <xf numFmtId="4" fontId="46" fillId="0" borderId="0"/>
    <xf numFmtId="164" fontId="46" fillId="0" borderId="0" applyFont="0" applyFill="0" applyBorder="0" applyAlignment="0" applyProtection="0"/>
  </cellStyleXfs>
  <cellXfs count="9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3" fontId="2" fillId="3" borderId="10" xfId="0" applyNumberFormat="1" applyFont="1" applyFill="1" applyBorder="1" applyAlignment="1">
      <alignment horizontal="right" vertical="center"/>
    </xf>
    <xf numFmtId="166" fontId="5" fillId="0" borderId="10" xfId="1" applyNumberFormat="1" applyFont="1" applyBorder="1" applyAlignment="1">
      <alignment horizontal="right" vertical="center" wrapText="1"/>
    </xf>
    <xf numFmtId="167" fontId="2" fillId="0" borderId="10" xfId="0" applyNumberFormat="1" applyFont="1" applyBorder="1" applyAlignment="1">
      <alignment horizontal="right" vertical="center"/>
    </xf>
    <xf numFmtId="2" fontId="2" fillId="4" borderId="10" xfId="0" applyNumberFormat="1" applyFont="1" applyFill="1" applyBorder="1" applyAlignment="1">
      <alignment horizontal="right" vertical="center"/>
    </xf>
    <xf numFmtId="167" fontId="2" fillId="3" borderId="10" xfId="0" applyNumberFormat="1" applyFont="1" applyFill="1" applyBorder="1" applyAlignment="1">
      <alignment horizontal="right" vertical="center"/>
    </xf>
    <xf numFmtId="2" fontId="2" fillId="0" borderId="10" xfId="0" applyNumberFormat="1" applyFont="1" applyBorder="1" applyAlignment="1">
      <alignment horizontal="right" vertical="center"/>
    </xf>
    <xf numFmtId="168" fontId="2" fillId="3" borderId="10" xfId="0" applyNumberFormat="1" applyFont="1" applyFill="1" applyBorder="1" applyAlignment="1">
      <alignment horizontal="right" vertical="center"/>
    </xf>
    <xf numFmtId="2" fontId="2" fillId="3" borderId="10" xfId="0" applyNumberFormat="1" applyFont="1" applyFill="1" applyBorder="1" applyAlignment="1">
      <alignment horizontal="right" vertical="center"/>
    </xf>
    <xf numFmtId="169" fontId="2" fillId="3" borderId="10" xfId="0" applyNumberFormat="1" applyFont="1" applyFill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69" fontId="2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169" fontId="2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22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23" xfId="0" applyFont="1" applyBorder="1"/>
    <xf numFmtId="0" fontId="2" fillId="0" borderId="1" xfId="0" applyFont="1" applyBorder="1"/>
    <xf numFmtId="0" fontId="2" fillId="0" borderId="24" xfId="0" applyFont="1" applyBorder="1"/>
    <xf numFmtId="0" fontId="8" fillId="0" borderId="0" xfId="0" applyFont="1"/>
    <xf numFmtId="0" fontId="9" fillId="0" borderId="0" xfId="0" applyFont="1"/>
    <xf numFmtId="0" fontId="10" fillId="0" borderId="5" xfId="0" applyFont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2" fontId="11" fillId="5" borderId="26" xfId="0" applyNumberFormat="1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2" fontId="11" fillId="5" borderId="28" xfId="0" applyNumberFormat="1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2" fontId="11" fillId="5" borderId="30" xfId="0" applyNumberFormat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9" fontId="15" fillId="0" borderId="12" xfId="3" applyFont="1" applyBorder="1" applyAlignment="1">
      <alignment horizontal="center" vertical="center"/>
    </xf>
    <xf numFmtId="9" fontId="15" fillId="0" borderId="13" xfId="3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0" fontId="2" fillId="3" borderId="6" xfId="0" applyNumberFormat="1" applyFont="1" applyFill="1" applyBorder="1" applyAlignment="1">
      <alignment horizontal="center" vertical="center"/>
    </xf>
    <xf numFmtId="10" fontId="2" fillId="0" borderId="6" xfId="3" applyNumberFormat="1" applyFont="1" applyBorder="1" applyAlignment="1">
      <alignment horizontal="center" vertical="center"/>
    </xf>
    <xf numFmtId="10" fontId="2" fillId="0" borderId="7" xfId="3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10" fontId="2" fillId="3" borderId="9" xfId="0" applyNumberFormat="1" applyFont="1" applyFill="1" applyBorder="1" applyAlignment="1">
      <alignment horizontal="center" vertical="center"/>
    </xf>
    <xf numFmtId="10" fontId="2" fillId="0" borderId="9" xfId="3" applyNumberFormat="1" applyFont="1" applyBorder="1" applyAlignment="1">
      <alignment horizontal="center" vertical="center"/>
    </xf>
    <xf numFmtId="10" fontId="2" fillId="0" borderId="10" xfId="3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3" borderId="9" xfId="3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10" fontId="2" fillId="3" borderId="12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0" fontId="3" fillId="0" borderId="0" xfId="0" applyNumberFormat="1" applyFont="1"/>
    <xf numFmtId="0" fontId="4" fillId="6" borderId="14" xfId="0" applyFont="1" applyFill="1" applyBorder="1" applyAlignment="1">
      <alignment horizontal="right" vertical="center" wrapText="1"/>
    </xf>
    <xf numFmtId="10" fontId="2" fillId="0" borderId="3" xfId="3" applyNumberFormat="1" applyFont="1" applyBorder="1" applyAlignment="1">
      <alignment horizontal="right"/>
    </xf>
    <xf numFmtId="10" fontId="2" fillId="0" borderId="4" xfId="3" applyNumberFormat="1" applyFont="1" applyBorder="1" applyAlignment="1">
      <alignment horizontal="right"/>
    </xf>
    <xf numFmtId="0" fontId="5" fillId="0" borderId="39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9" fontId="2" fillId="0" borderId="28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right" vertical="center"/>
    </xf>
    <xf numFmtId="170" fontId="4" fillId="0" borderId="16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0" fontId="18" fillId="0" borderId="0" xfId="0" applyFont="1" applyAlignment="1">
      <alignment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10" fontId="11" fillId="0" borderId="10" xfId="0" applyNumberFormat="1" applyFont="1" applyBorder="1" applyAlignment="1">
      <alignment horizontal="right" vertical="center"/>
    </xf>
    <xf numFmtId="0" fontId="11" fillId="8" borderId="8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left" vertical="center"/>
    </xf>
    <xf numFmtId="10" fontId="10" fillId="8" borderId="10" xfId="0" applyNumberFormat="1" applyFont="1" applyFill="1" applyBorder="1" applyAlignment="1">
      <alignment horizontal="right" vertical="center"/>
    </xf>
    <xf numFmtId="0" fontId="11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left" vertical="center"/>
    </xf>
    <xf numFmtId="10" fontId="10" fillId="6" borderId="10" xfId="0" applyNumberFormat="1" applyFont="1" applyFill="1" applyBorder="1" applyAlignment="1">
      <alignment horizontal="right" vertical="center"/>
    </xf>
    <xf numFmtId="0" fontId="5" fillId="0" borderId="9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0" fillId="0" borderId="0" xfId="0" applyNumberFormat="1"/>
    <xf numFmtId="9" fontId="19" fillId="0" borderId="0" xfId="3" applyFont="1" applyBorder="1" applyAlignment="1">
      <alignment horizontal="right" vertical="center"/>
    </xf>
    <xf numFmtId="0" fontId="11" fillId="9" borderId="11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left" vertical="center"/>
    </xf>
    <xf numFmtId="10" fontId="10" fillId="9" borderId="13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10" fontId="21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10" fontId="19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justify" vertical="center"/>
    </xf>
    <xf numFmtId="0" fontId="23" fillId="0" borderId="0" xfId="4" applyBorder="1" applyAlignment="1" applyProtection="1">
      <alignment horizontal="left" vertical="center"/>
    </xf>
    <xf numFmtId="0" fontId="24" fillId="0" borderId="0" xfId="0" applyFont="1"/>
    <xf numFmtId="0" fontId="23" fillId="0" borderId="0" xfId="4" applyBorder="1" applyAlignment="1" applyProtection="1">
      <alignment vertical="center"/>
    </xf>
    <xf numFmtId="0" fontId="1" fillId="0" borderId="0" xfId="0" applyFont="1" applyAlignment="1">
      <alignment vertical="center"/>
    </xf>
    <xf numFmtId="164" fontId="3" fillId="0" borderId="0" xfId="1" applyFont="1" applyAlignment="1">
      <alignment vertical="center"/>
    </xf>
    <xf numFmtId="0" fontId="2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4" fontId="6" fillId="0" borderId="0" xfId="0" applyNumberFormat="1" applyFont="1" applyAlignment="1">
      <alignment horizontal="left" vertical="center"/>
    </xf>
    <xf numFmtId="4" fontId="28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164" fontId="27" fillId="7" borderId="16" xfId="1" applyFont="1" applyFill="1" applyBorder="1" applyAlignment="1">
      <alignment horizontal="center" vertical="center"/>
    </xf>
    <xf numFmtId="164" fontId="27" fillId="0" borderId="32" xfId="1" applyFont="1" applyBorder="1" applyAlignment="1">
      <alignment horizontal="center" vertical="center"/>
    </xf>
    <xf numFmtId="164" fontId="6" fillId="0" borderId="45" xfId="1" applyFont="1" applyBorder="1" applyAlignment="1">
      <alignment vertical="center"/>
    </xf>
    <xf numFmtId="164" fontId="27" fillId="0" borderId="45" xfId="1" applyFont="1" applyBorder="1" applyAlignment="1">
      <alignment vertical="center"/>
    </xf>
    <xf numFmtId="164" fontId="27" fillId="0" borderId="46" xfId="1" applyFont="1" applyBorder="1" applyAlignment="1">
      <alignment vertical="center"/>
    </xf>
    <xf numFmtId="164" fontId="27" fillId="0" borderId="7" xfId="1" applyFont="1" applyBorder="1" applyAlignment="1">
      <alignment horizontal="center" vertical="center"/>
    </xf>
    <xf numFmtId="164" fontId="27" fillId="8" borderId="34" xfId="1" applyFont="1" applyFill="1" applyBorder="1" applyAlignment="1">
      <alignment vertical="center"/>
    </xf>
    <xf numFmtId="164" fontId="27" fillId="8" borderId="47" xfId="0" applyNumberFormat="1" applyFont="1" applyFill="1" applyBorder="1" applyAlignment="1">
      <alignment vertical="center"/>
    </xf>
    <xf numFmtId="164" fontId="27" fillId="8" borderId="47" xfId="1" applyFont="1" applyFill="1" applyBorder="1" applyAlignment="1">
      <alignment vertical="center"/>
    </xf>
    <xf numFmtId="171" fontId="27" fillId="8" borderId="9" xfId="0" applyNumberFormat="1" applyFont="1" applyFill="1" applyBorder="1" applyAlignment="1">
      <alignment vertical="center"/>
    </xf>
    <xf numFmtId="10" fontId="27" fillId="8" borderId="35" xfId="3" applyNumberFormat="1" applyFont="1" applyFill="1" applyBorder="1" applyAlignment="1">
      <alignment vertical="center"/>
    </xf>
    <xf numFmtId="164" fontId="27" fillId="0" borderId="0" xfId="1" applyFont="1" applyAlignment="1">
      <alignment vertical="center"/>
    </xf>
    <xf numFmtId="164" fontId="6" fillId="0" borderId="34" xfId="1" applyFont="1" applyBorder="1" applyAlignment="1">
      <alignment vertical="center"/>
    </xf>
    <xf numFmtId="164" fontId="6" fillId="0" borderId="47" xfId="0" applyNumberFormat="1" applyFont="1" applyBorder="1" applyAlignment="1">
      <alignment vertical="center"/>
    </xf>
    <xf numFmtId="164" fontId="6" fillId="0" borderId="47" xfId="1" applyFont="1" applyBorder="1" applyAlignment="1">
      <alignment vertical="center"/>
    </xf>
    <xf numFmtId="171" fontId="6" fillId="0" borderId="9" xfId="0" applyNumberFormat="1" applyFont="1" applyBorder="1" applyAlignment="1">
      <alignment vertical="center"/>
    </xf>
    <xf numFmtId="10" fontId="6" fillId="8" borderId="35" xfId="3" applyNumberFormat="1" applyFont="1" applyFill="1" applyBorder="1" applyAlignment="1">
      <alignment vertical="center"/>
    </xf>
    <xf numFmtId="164" fontId="27" fillId="8" borderId="34" xfId="1" applyFont="1" applyFill="1" applyBorder="1" applyAlignment="1">
      <alignment horizontal="left" vertical="center"/>
    </xf>
    <xf numFmtId="4" fontId="27" fillId="8" borderId="47" xfId="0" applyNumberFormat="1" applyFont="1" applyFill="1" applyBorder="1" applyAlignment="1">
      <alignment horizontal="centerContinuous" vertical="center"/>
    </xf>
    <xf numFmtId="164" fontId="6" fillId="0" borderId="34" xfId="1" applyFont="1" applyBorder="1" applyAlignment="1">
      <alignment horizontal="left" vertical="center"/>
    </xf>
    <xf numFmtId="4" fontId="6" fillId="0" borderId="47" xfId="0" applyNumberFormat="1" applyFont="1" applyBorder="1" applyAlignment="1">
      <alignment horizontal="centerContinuous" vertical="center"/>
    </xf>
    <xf numFmtId="4" fontId="3" fillId="0" borderId="0" xfId="0" applyNumberFormat="1" applyFont="1" applyAlignment="1">
      <alignment vertical="center"/>
    </xf>
    <xf numFmtId="171" fontId="27" fillId="8" borderId="48" xfId="0" applyNumberFormat="1" applyFont="1" applyFill="1" applyBorder="1" applyAlignment="1">
      <alignment vertical="center"/>
    </xf>
    <xf numFmtId="171" fontId="27" fillId="8" borderId="12" xfId="0" applyNumberFormat="1" applyFont="1" applyFill="1" applyBorder="1" applyAlignment="1">
      <alignment vertical="center"/>
    </xf>
    <xf numFmtId="164" fontId="27" fillId="7" borderId="14" xfId="1" applyFont="1" applyFill="1" applyBorder="1" applyAlignment="1">
      <alignment horizontal="left" vertical="center"/>
    </xf>
    <xf numFmtId="4" fontId="27" fillId="7" borderId="15" xfId="0" applyNumberFormat="1" applyFont="1" applyFill="1" applyBorder="1" applyAlignment="1">
      <alignment horizontal="centerContinuous" vertical="center"/>
    </xf>
    <xf numFmtId="164" fontId="27" fillId="7" borderId="15" xfId="1" applyFont="1" applyFill="1" applyBorder="1" applyAlignment="1">
      <alignment vertical="center"/>
    </xf>
    <xf numFmtId="172" fontId="27" fillId="7" borderId="49" xfId="0" applyNumberFormat="1" applyFont="1" applyFill="1" applyBorder="1" applyAlignment="1">
      <alignment vertical="center"/>
    </xf>
    <xf numFmtId="9" fontId="27" fillId="7" borderId="4" xfId="3" applyFont="1" applyFill="1" applyBorder="1" applyAlignment="1">
      <alignment vertical="center"/>
    </xf>
    <xf numFmtId="172" fontId="3" fillId="0" borderId="0" xfId="0" applyNumberFormat="1" applyFont="1" applyAlignment="1">
      <alignment vertical="center"/>
    </xf>
    <xf numFmtId="164" fontId="27" fillId="0" borderId="0" xfId="1" applyFont="1" applyFill="1" applyBorder="1" applyAlignment="1">
      <alignment horizontal="left" vertical="center"/>
    </xf>
    <xf numFmtId="4" fontId="27" fillId="0" borderId="0" xfId="0" applyNumberFormat="1" applyFont="1" applyAlignment="1">
      <alignment horizontal="centerContinuous" vertical="center"/>
    </xf>
    <xf numFmtId="164" fontId="27" fillId="0" borderId="0" xfId="1" applyFont="1" applyFill="1" applyBorder="1" applyAlignment="1">
      <alignment vertical="center"/>
    </xf>
    <xf numFmtId="172" fontId="27" fillId="0" borderId="0" xfId="0" applyNumberFormat="1" applyFont="1" applyAlignment="1">
      <alignment vertical="center"/>
    </xf>
    <xf numFmtId="9" fontId="27" fillId="0" borderId="0" xfId="3" applyFont="1" applyFill="1" applyBorder="1" applyAlignment="1">
      <alignment vertical="center"/>
    </xf>
    <xf numFmtId="44" fontId="27" fillId="7" borderId="9" xfId="2" applyFont="1" applyFill="1" applyBorder="1" applyAlignment="1">
      <alignment vertical="center"/>
    </xf>
    <xf numFmtId="9" fontId="27" fillId="7" borderId="9" xfId="3" applyFont="1" applyFill="1" applyBorder="1" applyAlignment="1">
      <alignment vertical="center"/>
    </xf>
    <xf numFmtId="164" fontId="27" fillId="8" borderId="52" xfId="1" applyFont="1" applyFill="1" applyBorder="1" applyAlignment="1">
      <alignment horizontal="right" vertical="center"/>
    </xf>
    <xf numFmtId="164" fontId="6" fillId="0" borderId="8" xfId="1" applyFont="1" applyBorder="1" applyAlignment="1">
      <alignment vertical="center"/>
    </xf>
    <xf numFmtId="164" fontId="6" fillId="0" borderId="9" xfId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" fontId="6" fillId="0" borderId="10" xfId="1" applyNumberFormat="1" applyFont="1" applyBorder="1" applyAlignment="1">
      <alignment horizontal="center" vertical="center"/>
    </xf>
    <xf numFmtId="164" fontId="27" fillId="0" borderId="8" xfId="1" applyFont="1" applyBorder="1" applyAlignment="1">
      <alignment vertical="center"/>
    </xf>
    <xf numFmtId="4" fontId="27" fillId="0" borderId="9" xfId="0" applyNumberFormat="1" applyFont="1" applyBorder="1" applyAlignment="1">
      <alignment vertical="center"/>
    </xf>
    <xf numFmtId="1" fontId="27" fillId="0" borderId="10" xfId="1" applyNumberFormat="1" applyFont="1" applyBorder="1" applyAlignment="1">
      <alignment horizontal="center" vertical="center"/>
    </xf>
    <xf numFmtId="164" fontId="6" fillId="0" borderId="10" xfId="1" applyFont="1" applyBorder="1" applyAlignment="1">
      <alignment vertical="center"/>
    </xf>
    <xf numFmtId="164" fontId="27" fillId="8" borderId="10" xfId="1" applyFont="1" applyFill="1" applyBorder="1" applyAlignment="1">
      <alignment horizontal="right" vertical="center"/>
    </xf>
    <xf numFmtId="164" fontId="6" fillId="0" borderId="11" xfId="1" applyFont="1" applyBorder="1" applyAlignment="1">
      <alignment vertical="center"/>
    </xf>
    <xf numFmtId="164" fontId="6" fillId="0" borderId="12" xfId="1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" fontId="6" fillId="0" borderId="13" xfId="1" applyNumberFormat="1" applyFont="1" applyBorder="1" applyAlignment="1">
      <alignment horizontal="center" vertical="center"/>
    </xf>
    <xf numFmtId="164" fontId="6" fillId="0" borderId="0" xfId="1" applyFont="1" applyBorder="1" applyAlignment="1">
      <alignment vertical="center"/>
    </xf>
    <xf numFmtId="1" fontId="6" fillId="0" borderId="0" xfId="1" applyNumberFormat="1" applyFont="1" applyBorder="1" applyAlignment="1">
      <alignment horizontal="center" vertical="center"/>
    </xf>
    <xf numFmtId="173" fontId="6" fillId="0" borderId="0" xfId="1" applyNumberFormat="1" applyFont="1" applyBorder="1" applyAlignment="1">
      <alignment horizontal="center" vertical="center"/>
    </xf>
    <xf numFmtId="164" fontId="27" fillId="0" borderId="14" xfId="1" applyFont="1" applyBorder="1" applyAlignment="1">
      <alignment vertical="center"/>
    </xf>
    <xf numFmtId="10" fontId="27" fillId="3" borderId="16" xfId="3" applyNumberFormat="1" applyFont="1" applyFill="1" applyBorder="1" applyAlignment="1">
      <alignment vertical="center"/>
    </xf>
    <xf numFmtId="164" fontId="27" fillId="0" borderId="0" xfId="1" applyFont="1" applyBorder="1" applyAlignment="1">
      <alignment vertical="center"/>
    </xf>
    <xf numFmtId="0" fontId="27" fillId="0" borderId="0" xfId="0" applyFont="1" applyAlignment="1">
      <alignment vertical="center"/>
    </xf>
    <xf numFmtId="173" fontId="27" fillId="0" borderId="0" xfId="1" applyNumberFormat="1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3" xfId="0" applyFont="1" applyFill="1" applyBorder="1" applyAlignment="1">
      <alignment horizontal="center" vertical="center"/>
    </xf>
    <xf numFmtId="164" fontId="27" fillId="11" borderId="3" xfId="1" applyFont="1" applyFill="1" applyBorder="1" applyAlignment="1">
      <alignment horizontal="center" vertical="center"/>
    </xf>
    <xf numFmtId="164" fontId="27" fillId="11" borderId="4" xfId="1" applyFont="1" applyFill="1" applyBorder="1" applyAlignment="1">
      <alignment horizontal="center" vertical="center"/>
    </xf>
    <xf numFmtId="0" fontId="6" fillId="0" borderId="50" xfId="0" applyFont="1" applyBorder="1" applyAlignment="1">
      <alignment vertical="center"/>
    </xf>
    <xf numFmtId="0" fontId="6" fillId="0" borderId="51" xfId="0" applyFont="1" applyBorder="1" applyAlignment="1">
      <alignment horizontal="center" vertical="center"/>
    </xf>
    <xf numFmtId="164" fontId="6" fillId="3" borderId="51" xfId="1" applyFont="1" applyFill="1" applyBorder="1" applyAlignment="1">
      <alignment horizontal="center" vertical="center"/>
    </xf>
    <xf numFmtId="164" fontId="6" fillId="0" borderId="51" xfId="1" applyFont="1" applyBorder="1" applyAlignment="1">
      <alignment horizontal="center" vertical="center"/>
    </xf>
    <xf numFmtId="164" fontId="6" fillId="7" borderId="21" xfId="1" applyFont="1" applyFill="1" applyBorder="1" applyAlignment="1">
      <alignment vertical="center"/>
    </xf>
    <xf numFmtId="174" fontId="3" fillId="0" borderId="0" xfId="0" applyNumberFormat="1" applyFont="1" applyAlignment="1">
      <alignment vertical="center"/>
    </xf>
    <xf numFmtId="175" fontId="3" fillId="0" borderId="0" xfId="2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1" fontId="6" fillId="3" borderId="9" xfId="0" applyNumberFormat="1" applyFont="1" applyFill="1" applyBorder="1" applyAlignment="1">
      <alignment horizontal="center" vertical="center"/>
    </xf>
    <xf numFmtId="164" fontId="6" fillId="0" borderId="9" xfId="1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64" fontId="6" fillId="0" borderId="9" xfId="1" applyFont="1" applyFill="1" applyBorder="1" applyAlignment="1">
      <alignment horizontal="center" vertical="center"/>
    </xf>
    <xf numFmtId="164" fontId="27" fillId="0" borderId="9" xfId="1" applyFont="1" applyBorder="1" applyAlignment="1">
      <alignment horizontal="center" vertical="center"/>
    </xf>
    <xf numFmtId="164" fontId="27" fillId="7" borderId="21" xfId="1" applyFont="1" applyFill="1" applyBorder="1" applyAlignment="1">
      <alignment vertical="center"/>
    </xf>
    <xf numFmtId="164" fontId="6" fillId="12" borderId="9" xfId="1" applyFont="1" applyFill="1" applyBorder="1" applyAlignment="1">
      <alignment horizontal="center" vertical="center"/>
    </xf>
    <xf numFmtId="0" fontId="6" fillId="0" borderId="54" xfId="0" applyFont="1" applyBorder="1" applyAlignment="1">
      <alignment vertical="center"/>
    </xf>
    <xf numFmtId="0" fontId="6" fillId="0" borderId="48" xfId="0" applyFont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164" fontId="6" fillId="7" borderId="55" xfId="1" applyFont="1" applyFill="1" applyBorder="1" applyAlignment="1">
      <alignment horizontal="right" vertical="center"/>
    </xf>
    <xf numFmtId="177" fontId="6" fillId="7" borderId="12" xfId="1" applyNumberFormat="1" applyFont="1" applyFill="1" applyBorder="1" applyAlignment="1">
      <alignment vertical="center"/>
    </xf>
    <xf numFmtId="164" fontId="27" fillId="7" borderId="56" xfId="1" applyFont="1" applyFill="1" applyBorder="1" applyAlignment="1">
      <alignment horizontal="center" vertical="center"/>
    </xf>
    <xf numFmtId="173" fontId="6" fillId="0" borderId="9" xfId="1" applyNumberFormat="1" applyFont="1" applyBorder="1" applyAlignment="1">
      <alignment horizontal="center" vertical="center"/>
    </xf>
    <xf numFmtId="164" fontId="6" fillId="3" borderId="0" xfId="1" applyFont="1" applyFill="1" applyBorder="1" applyAlignment="1">
      <alignment vertical="center"/>
    </xf>
    <xf numFmtId="164" fontId="6" fillId="0" borderId="57" xfId="1" applyFont="1" applyBorder="1" applyAlignment="1">
      <alignment horizontal="center" vertical="center"/>
    </xf>
    <xf numFmtId="164" fontId="6" fillId="7" borderId="58" xfId="1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164" fontId="6" fillId="7" borderId="59" xfId="1" applyFont="1" applyFill="1" applyBorder="1" applyAlignment="1">
      <alignment vertical="center"/>
    </xf>
    <xf numFmtId="10" fontId="3" fillId="0" borderId="0" xfId="0" applyNumberFormat="1" applyFont="1" applyAlignment="1">
      <alignment vertical="center"/>
    </xf>
    <xf numFmtId="173" fontId="6" fillId="0" borderId="9" xfId="1" applyNumberFormat="1" applyFont="1" applyBorder="1" applyAlignment="1">
      <alignment vertical="center"/>
    </xf>
    <xf numFmtId="164" fontId="6" fillId="0" borderId="42" xfId="1" applyFont="1" applyBorder="1" applyAlignment="1">
      <alignment horizontal="center" vertical="center"/>
    </xf>
    <xf numFmtId="164" fontId="27" fillId="7" borderId="56" xfId="1" applyFont="1" applyFill="1" applyBorder="1" applyAlignment="1">
      <alignment vertical="center"/>
    </xf>
    <xf numFmtId="173" fontId="6" fillId="0" borderId="9" xfId="1" applyNumberFormat="1" applyFont="1" applyFill="1" applyBorder="1" applyAlignment="1">
      <alignment vertical="center"/>
    </xf>
    <xf numFmtId="164" fontId="6" fillId="3" borderId="9" xfId="1" applyFont="1" applyFill="1" applyBorder="1" applyAlignment="1">
      <alignment horizontal="center" vertical="center"/>
    </xf>
    <xf numFmtId="164" fontId="6" fillId="0" borderId="57" xfId="1" applyFont="1" applyBorder="1" applyAlignment="1">
      <alignment vertical="center"/>
    </xf>
    <xf numFmtId="164" fontId="27" fillId="7" borderId="59" xfId="1" applyFont="1" applyFill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6" fillId="7" borderId="12" xfId="1" applyFont="1" applyFill="1" applyBorder="1" applyAlignment="1">
      <alignment horizontal="right" vertical="center"/>
    </xf>
    <xf numFmtId="177" fontId="6" fillId="7" borderId="62" xfId="1" applyNumberFormat="1" applyFont="1" applyFill="1" applyBorder="1" applyAlignment="1">
      <alignment vertical="center"/>
    </xf>
    <xf numFmtId="0" fontId="27" fillId="7" borderId="14" xfId="0" applyFont="1" applyFill="1" applyBorder="1" applyAlignment="1">
      <alignment vertical="center"/>
    </xf>
    <xf numFmtId="0" fontId="27" fillId="7" borderId="15" xfId="0" applyFont="1" applyFill="1" applyBorder="1" applyAlignment="1">
      <alignment vertical="center"/>
    </xf>
    <xf numFmtId="164" fontId="27" fillId="7" borderId="16" xfId="1" applyFont="1" applyFill="1" applyBorder="1" applyAlignment="1">
      <alignment vertical="center"/>
    </xf>
    <xf numFmtId="0" fontId="27" fillId="11" borderId="3" xfId="0" applyFont="1" applyFill="1" applyBorder="1" applyAlignment="1">
      <alignment horizontal="center" vertical="center" wrapText="1"/>
    </xf>
    <xf numFmtId="13" fontId="6" fillId="3" borderId="9" xfId="0" applyNumberFormat="1" applyFont="1" applyFill="1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164" fontId="27" fillId="11" borderId="16" xfId="1" applyFont="1" applyFill="1" applyBorder="1" applyAlignment="1">
      <alignment horizontal="center" vertical="center"/>
    </xf>
    <xf numFmtId="176" fontId="3" fillId="0" borderId="0" xfId="0" applyNumberFormat="1" applyFont="1"/>
    <xf numFmtId="0" fontId="30" fillId="0" borderId="0" xfId="4" applyFont="1" applyAlignment="1" applyProtection="1">
      <alignment vertical="center"/>
    </xf>
    <xf numFmtId="0" fontId="29" fillId="0" borderId="0" xfId="0" applyFont="1" applyAlignment="1">
      <alignment vertical="center"/>
    </xf>
    <xf numFmtId="0" fontId="28" fillId="0" borderId="0" xfId="4" applyFont="1" applyAlignment="1" applyProtection="1">
      <alignment vertical="center"/>
    </xf>
    <xf numFmtId="164" fontId="6" fillId="7" borderId="59" xfId="1" applyFont="1" applyFill="1" applyBorder="1" applyAlignment="1">
      <alignment horizontal="center" vertical="center"/>
    </xf>
    <xf numFmtId="43" fontId="3" fillId="0" borderId="0" xfId="0" applyNumberFormat="1" applyFont="1" applyAlignment="1">
      <alignment vertical="center"/>
    </xf>
    <xf numFmtId="164" fontId="6" fillId="12" borderId="9" xfId="1" applyFont="1" applyFill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27" fillId="0" borderId="9" xfId="0" applyFont="1" applyBorder="1" applyAlignment="1">
      <alignment horizontal="center" vertical="center"/>
    </xf>
    <xf numFmtId="164" fontId="27" fillId="0" borderId="57" xfId="1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164" fontId="27" fillId="0" borderId="0" xfId="1" applyFont="1" applyBorder="1" applyAlignment="1">
      <alignment horizontal="center" vertical="center"/>
    </xf>
    <xf numFmtId="164" fontId="27" fillId="0" borderId="40" xfId="1" applyFont="1" applyBorder="1" applyAlignment="1">
      <alignment horizontal="center" vertical="center"/>
    </xf>
    <xf numFmtId="164" fontId="6" fillId="7" borderId="58" xfId="1" applyFont="1" applyFill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164" fontId="27" fillId="0" borderId="9" xfId="1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64" fontId="27" fillId="7" borderId="59" xfId="1" applyFont="1" applyFill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27" fillId="0" borderId="14" xfId="0" applyFont="1" applyBorder="1" applyAlignment="1">
      <alignment vertical="center"/>
    </xf>
    <xf numFmtId="4" fontId="27" fillId="3" borderId="16" xfId="0" applyNumberFormat="1" applyFont="1" applyFill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6" fillId="0" borderId="64" xfId="0" applyFont="1" applyBorder="1" applyAlignment="1">
      <alignment horizontal="center" vertical="center"/>
    </xf>
    <xf numFmtId="4" fontId="6" fillId="3" borderId="64" xfId="0" applyNumberFormat="1" applyFont="1" applyFill="1" applyBorder="1" applyAlignment="1">
      <alignment horizontal="center" vertical="center"/>
    </xf>
    <xf numFmtId="178" fontId="6" fillId="3" borderId="64" xfId="1" applyNumberFormat="1" applyFont="1" applyFill="1" applyBorder="1" applyAlignment="1">
      <alignment horizontal="center" vertical="center"/>
    </xf>
    <xf numFmtId="164" fontId="6" fillId="0" borderId="65" xfId="1" applyFont="1" applyBorder="1" applyAlignment="1">
      <alignment horizontal="center" vertical="center"/>
    </xf>
    <xf numFmtId="0" fontId="6" fillId="0" borderId="66" xfId="0" applyFont="1" applyBorder="1" applyAlignment="1">
      <alignment vertical="center"/>
    </xf>
    <xf numFmtId="0" fontId="6" fillId="0" borderId="67" xfId="0" applyFont="1" applyBorder="1" applyAlignment="1">
      <alignment horizontal="center" vertical="center"/>
    </xf>
    <xf numFmtId="178" fontId="6" fillId="0" borderId="67" xfId="1" applyNumberFormat="1" applyFont="1" applyBorder="1" applyAlignment="1">
      <alignment horizontal="center" vertical="center"/>
    </xf>
    <xf numFmtId="164" fontId="6" fillId="0" borderId="68" xfId="1" applyFont="1" applyBorder="1" applyAlignment="1">
      <alignment horizontal="center" vertical="center"/>
    </xf>
    <xf numFmtId="0" fontId="6" fillId="0" borderId="36" xfId="0" applyFont="1" applyBorder="1" applyAlignment="1">
      <alignment vertical="center"/>
    </xf>
    <xf numFmtId="0" fontId="6" fillId="0" borderId="69" xfId="0" applyFont="1" applyBorder="1" applyAlignment="1">
      <alignment horizontal="center" vertical="center"/>
    </xf>
    <xf numFmtId="4" fontId="6" fillId="3" borderId="69" xfId="0" applyNumberFormat="1" applyFont="1" applyFill="1" applyBorder="1" applyAlignment="1">
      <alignment horizontal="center" vertical="center"/>
    </xf>
    <xf numFmtId="164" fontId="6" fillId="3" borderId="69" xfId="1" applyFont="1" applyFill="1" applyBorder="1" applyAlignment="1">
      <alignment horizontal="center" vertical="center"/>
    </xf>
    <xf numFmtId="164" fontId="6" fillId="0" borderId="70" xfId="1" applyFont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6" fillId="0" borderId="71" xfId="0" applyFont="1" applyBorder="1" applyAlignment="1">
      <alignment horizontal="center" vertical="center"/>
    </xf>
    <xf numFmtId="178" fontId="6" fillId="0" borderId="71" xfId="1" applyNumberFormat="1" applyFont="1" applyBorder="1" applyAlignment="1">
      <alignment horizontal="center" vertical="center"/>
    </xf>
    <xf numFmtId="164" fontId="6" fillId="0" borderId="72" xfId="1" applyFont="1" applyBorder="1" applyAlignment="1">
      <alignment horizontal="center" vertical="center"/>
    </xf>
    <xf numFmtId="0" fontId="6" fillId="0" borderId="25" xfId="0" applyFont="1" applyBorder="1" applyAlignment="1">
      <alignment vertical="center"/>
    </xf>
    <xf numFmtId="0" fontId="6" fillId="0" borderId="73" xfId="0" applyFont="1" applyBorder="1" applyAlignment="1">
      <alignment horizontal="center" vertical="center"/>
    </xf>
    <xf numFmtId="4" fontId="6" fillId="3" borderId="73" xfId="0" applyNumberFormat="1" applyFont="1" applyFill="1" applyBorder="1" applyAlignment="1">
      <alignment horizontal="center" vertical="center"/>
    </xf>
    <xf numFmtId="164" fontId="6" fillId="3" borderId="73" xfId="1" applyFont="1" applyFill="1" applyBorder="1" applyAlignment="1">
      <alignment horizontal="center" vertical="center"/>
    </xf>
    <xf numFmtId="164" fontId="6" fillId="0" borderId="74" xfId="1" applyFont="1" applyBorder="1" applyAlignment="1">
      <alignment horizontal="center" vertical="center"/>
    </xf>
    <xf numFmtId="164" fontId="3" fillId="0" borderId="0" xfId="1" applyFont="1" applyFill="1" applyAlignment="1">
      <alignment vertical="center"/>
    </xf>
    <xf numFmtId="173" fontId="27" fillId="0" borderId="9" xfId="1" applyNumberFormat="1" applyFont="1" applyBorder="1" applyAlignment="1">
      <alignment horizontal="center" vertical="center"/>
    </xf>
    <xf numFmtId="178" fontId="27" fillId="0" borderId="9" xfId="1" applyNumberFormat="1" applyFont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164" fontId="6" fillId="0" borderId="51" xfId="1" applyFont="1" applyFill="1" applyBorder="1" applyAlignment="1">
      <alignment horizontal="center" vertical="center"/>
    </xf>
    <xf numFmtId="3" fontId="6" fillId="3" borderId="9" xfId="0" applyNumberFormat="1" applyFont="1" applyFill="1" applyBorder="1" applyAlignment="1">
      <alignment horizontal="center" vertical="center"/>
    </xf>
    <xf numFmtId="164" fontId="27" fillId="0" borderId="0" xfId="1" applyFont="1" applyFill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64" fontId="6" fillId="7" borderId="62" xfId="1" applyFont="1" applyFill="1" applyBorder="1" applyAlignment="1">
      <alignment vertical="center"/>
    </xf>
    <xf numFmtId="164" fontId="27" fillId="11" borderId="16" xfId="1" applyFont="1" applyFill="1" applyBorder="1" applyAlignment="1">
      <alignment vertical="center"/>
    </xf>
    <xf numFmtId="0" fontId="6" fillId="0" borderId="50" xfId="0" applyFont="1" applyBorder="1" applyAlignment="1">
      <alignment vertical="center" wrapText="1"/>
    </xf>
    <xf numFmtId="43" fontId="6" fillId="0" borderId="0" xfId="0" applyNumberFormat="1" applyFont="1" applyAlignment="1">
      <alignment horizontal="center" vertical="center"/>
    </xf>
    <xf numFmtId="0" fontId="27" fillId="0" borderId="15" xfId="0" applyFont="1" applyBorder="1" applyAlignment="1">
      <alignment vertical="center"/>
    </xf>
    <xf numFmtId="164" fontId="27" fillId="3" borderId="15" xfId="1" applyFont="1" applyFill="1" applyBorder="1" applyAlignment="1">
      <alignment vertical="center"/>
    </xf>
    <xf numFmtId="164" fontId="27" fillId="0" borderId="16" xfId="1" applyFont="1" applyBorder="1" applyAlignment="1">
      <alignment vertical="center"/>
    </xf>
    <xf numFmtId="164" fontId="6" fillId="0" borderId="0" xfId="1" applyFont="1" applyFill="1" applyBorder="1" applyAlignment="1">
      <alignment vertical="center"/>
    </xf>
    <xf numFmtId="164" fontId="27" fillId="0" borderId="15" xfId="1" applyFont="1" applyBorder="1" applyAlignment="1">
      <alignment vertical="center"/>
    </xf>
    <xf numFmtId="164" fontId="27" fillId="0" borderId="15" xfId="1" applyFont="1" applyBorder="1" applyAlignment="1">
      <alignment horizontal="right" vertical="center"/>
    </xf>
    <xf numFmtId="164" fontId="27" fillId="11" borderId="16" xfId="1" applyFont="1" applyFill="1" applyBorder="1" applyAlignment="1">
      <alignment horizontal="right" vertical="center"/>
    </xf>
    <xf numFmtId="0" fontId="6" fillId="0" borderId="20" xfId="0" applyFont="1" applyBorder="1" applyAlignment="1">
      <alignment vertical="center"/>
    </xf>
    <xf numFmtId="164" fontId="6" fillId="0" borderId="21" xfId="1" applyFont="1" applyFill="1" applyBorder="1" applyAlignment="1">
      <alignment vertical="center"/>
    </xf>
    <xf numFmtId="171" fontId="3" fillId="0" borderId="0" xfId="0" applyNumberFormat="1" applyFont="1" applyAlignment="1">
      <alignment vertical="center"/>
    </xf>
    <xf numFmtId="0" fontId="3" fillId="0" borderId="0" xfId="1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46" fillId="19" borderId="22" xfId="6" applyFill="1" applyBorder="1" applyAlignment="1">
      <alignment vertical="center"/>
    </xf>
    <xf numFmtId="4" fontId="4" fillId="19" borderId="0" xfId="6" applyFont="1" applyFill="1" applyAlignment="1">
      <alignment vertical="center"/>
    </xf>
    <xf numFmtId="4" fontId="46" fillId="19" borderId="43" xfId="6" applyFill="1" applyBorder="1" applyAlignment="1">
      <alignment vertical="center"/>
    </xf>
    <xf numFmtId="0" fontId="0" fillId="0" borderId="0" xfId="0" applyAlignment="1">
      <alignment vertical="center"/>
    </xf>
    <xf numFmtId="4" fontId="17" fillId="0" borderId="0" xfId="6" applyFont="1" applyAlignment="1">
      <alignment vertical="center"/>
    </xf>
    <xf numFmtId="4" fontId="17" fillId="0" borderId="0" xfId="6" applyFont="1" applyAlignment="1">
      <alignment horizontal="center" vertical="center"/>
    </xf>
    <xf numFmtId="4" fontId="17" fillId="11" borderId="0" xfId="6" applyFont="1" applyFill="1" applyAlignment="1">
      <alignment vertical="center"/>
    </xf>
    <xf numFmtId="4" fontId="46" fillId="0" borderId="0" xfId="6" applyAlignment="1">
      <alignment horizontal="center" vertical="center"/>
    </xf>
    <xf numFmtId="4" fontId="46" fillId="0" borderId="0" xfId="6" applyAlignment="1">
      <alignment vertical="center"/>
    </xf>
    <xf numFmtId="165" fontId="0" fillId="0" borderId="0" xfId="5" applyFont="1" applyAlignment="1">
      <alignment vertical="center"/>
    </xf>
    <xf numFmtId="4" fontId="17" fillId="21" borderId="0" xfId="6" applyFont="1" applyFill="1" applyAlignment="1">
      <alignment horizontal="center"/>
    </xf>
    <xf numFmtId="165" fontId="17" fillId="21" borderId="113" xfId="5" applyFont="1" applyFill="1" applyBorder="1" applyAlignment="1">
      <alignment horizontal="center" vertical="center"/>
    </xf>
    <xf numFmtId="4" fontId="17" fillId="21" borderId="113" xfId="6" applyFont="1" applyFill="1" applyBorder="1" applyAlignment="1">
      <alignment horizontal="center" vertical="center"/>
    </xf>
    <xf numFmtId="4" fontId="17" fillId="21" borderId="115" xfId="6" applyFont="1" applyFill="1" applyBorder="1" applyAlignment="1">
      <alignment vertical="center"/>
    </xf>
    <xf numFmtId="165" fontId="17" fillId="21" borderId="118" xfId="5" applyFont="1" applyFill="1" applyBorder="1" applyAlignment="1">
      <alignment horizontal="center" vertical="center"/>
    </xf>
    <xf numFmtId="4" fontId="17" fillId="21" borderId="118" xfId="6" applyFont="1" applyFill="1" applyBorder="1" applyAlignment="1">
      <alignment horizontal="center" vertical="center"/>
    </xf>
    <xf numFmtId="4" fontId="17" fillId="21" borderId="119" xfId="6" applyFont="1" applyFill="1" applyBorder="1" applyAlignment="1">
      <alignment horizontal="center" vertical="center"/>
    </xf>
    <xf numFmtId="4" fontId="17" fillId="21" borderId="120" xfId="6" applyFont="1" applyFill="1" applyBorder="1" applyAlignment="1">
      <alignment horizontal="center" vertical="center"/>
    </xf>
    <xf numFmtId="0" fontId="17" fillId="22" borderId="121" xfId="7" applyNumberFormat="1" applyFont="1" applyFill="1" applyBorder="1" applyAlignment="1">
      <alignment horizontal="center" vertical="center"/>
    </xf>
    <xf numFmtId="4" fontId="46" fillId="22" borderId="122" xfId="6" applyFill="1" applyBorder="1" applyAlignment="1">
      <alignment vertical="center"/>
    </xf>
    <xf numFmtId="165" fontId="0" fillId="22" borderId="123" xfId="5" applyFont="1" applyFill="1" applyBorder="1" applyAlignment="1">
      <alignment vertical="center"/>
    </xf>
    <xf numFmtId="10" fontId="0" fillId="22" borderId="123" xfId="3" applyNumberFormat="1" applyFont="1" applyFill="1" applyBorder="1" applyAlignment="1">
      <alignment horizontal="center" vertical="center"/>
    </xf>
    <xf numFmtId="180" fontId="46" fillId="22" borderId="123" xfId="6" applyNumberFormat="1" applyFill="1" applyBorder="1" applyAlignment="1">
      <alignment vertical="center"/>
    </xf>
    <xf numFmtId="180" fontId="46" fillId="22" borderId="124" xfId="6" applyNumberFormat="1" applyFill="1" applyBorder="1" applyAlignment="1">
      <alignment vertical="center"/>
    </xf>
    <xf numFmtId="173" fontId="17" fillId="23" borderId="125" xfId="7" applyNumberFormat="1" applyFont="1" applyFill="1" applyBorder="1" applyAlignment="1">
      <alignment horizontal="center" vertical="center"/>
    </xf>
    <xf numFmtId="4" fontId="17" fillId="23" borderId="126" xfId="6" applyFont="1" applyFill="1" applyBorder="1" applyAlignment="1">
      <alignment vertical="center"/>
    </xf>
    <xf numFmtId="165" fontId="17" fillId="20" borderId="127" xfId="5" applyFont="1" applyFill="1" applyBorder="1" applyAlignment="1">
      <alignment vertical="center"/>
    </xf>
    <xf numFmtId="10" fontId="17" fillId="23" borderId="127" xfId="3" applyNumberFormat="1" applyFont="1" applyFill="1" applyBorder="1" applyAlignment="1">
      <alignment horizontal="center" vertical="center"/>
    </xf>
    <xf numFmtId="180" fontId="17" fillId="23" borderId="127" xfId="6" applyNumberFormat="1" applyFont="1" applyFill="1" applyBorder="1" applyAlignment="1">
      <alignment vertical="center"/>
    </xf>
    <xf numFmtId="180" fontId="17" fillId="23" borderId="128" xfId="6" applyNumberFormat="1" applyFont="1" applyFill="1" applyBorder="1" applyAlignment="1">
      <alignment vertical="center"/>
    </xf>
    <xf numFmtId="164" fontId="27" fillId="6" borderId="34" xfId="1" applyFont="1" applyFill="1" applyBorder="1" applyAlignment="1">
      <alignment vertical="center"/>
    </xf>
    <xf numFmtId="164" fontId="27" fillId="6" borderId="47" xfId="0" applyNumberFormat="1" applyFont="1" applyFill="1" applyBorder="1" applyAlignment="1">
      <alignment vertical="center"/>
    </xf>
    <xf numFmtId="164" fontId="27" fillId="6" borderId="47" xfId="1" applyFont="1" applyFill="1" applyBorder="1" applyAlignment="1">
      <alignment vertical="center"/>
    </xf>
    <xf numFmtId="171" fontId="27" fillId="6" borderId="9" xfId="0" applyNumberFormat="1" applyFont="1" applyFill="1" applyBorder="1" applyAlignment="1">
      <alignment vertical="center"/>
    </xf>
    <xf numFmtId="10" fontId="27" fillId="6" borderId="35" xfId="3" applyNumberFormat="1" applyFont="1" applyFill="1" applyBorder="1" applyAlignment="1">
      <alignment vertical="center"/>
    </xf>
    <xf numFmtId="171" fontId="1" fillId="0" borderId="0" xfId="1" applyNumberFormat="1" applyFont="1" applyAlignment="1">
      <alignment vertical="center"/>
    </xf>
    <xf numFmtId="10" fontId="6" fillId="0" borderId="35" xfId="3" applyNumberFormat="1" applyFont="1" applyFill="1" applyBorder="1" applyAlignment="1">
      <alignment vertical="center"/>
    </xf>
    <xf numFmtId="164" fontId="31" fillId="0" borderId="0" xfId="1" applyFont="1" applyAlignment="1">
      <alignment vertical="center"/>
    </xf>
    <xf numFmtId="164" fontId="27" fillId="6" borderId="34" xfId="1" applyFont="1" applyFill="1" applyBorder="1" applyAlignment="1">
      <alignment horizontal="left" vertical="center"/>
    </xf>
    <xf numFmtId="171" fontId="31" fillId="0" borderId="0" xfId="1" applyNumberFormat="1" applyFont="1" applyAlignment="1">
      <alignment vertical="center"/>
    </xf>
    <xf numFmtId="171" fontId="3" fillId="0" borderId="0" xfId="1" applyNumberFormat="1" applyFont="1" applyAlignment="1">
      <alignment vertical="center"/>
    </xf>
    <xf numFmtId="181" fontId="3" fillId="0" borderId="0" xfId="0" applyNumberFormat="1" applyFont="1" applyAlignment="1">
      <alignment vertical="center"/>
    </xf>
    <xf numFmtId="4" fontId="27" fillId="6" borderId="47" xfId="0" applyNumberFormat="1" applyFont="1" applyFill="1" applyBorder="1" applyAlignment="1">
      <alignment horizontal="centerContinuous" vertical="center"/>
    </xf>
    <xf numFmtId="164" fontId="27" fillId="6" borderId="129" xfId="1" applyFont="1" applyFill="1" applyBorder="1" applyAlignment="1">
      <alignment horizontal="left" vertical="center"/>
    </xf>
    <xf numFmtId="4" fontId="27" fillId="6" borderId="22" xfId="0" applyNumberFormat="1" applyFont="1" applyFill="1" applyBorder="1" applyAlignment="1">
      <alignment horizontal="centerContinuous" vertical="center"/>
    </xf>
    <xf numFmtId="164" fontId="27" fillId="6" borderId="22" xfId="1" applyFont="1" applyFill="1" applyBorder="1" applyAlignment="1">
      <alignment vertical="center"/>
    </xf>
    <xf numFmtId="171" fontId="27" fillId="6" borderId="48" xfId="0" applyNumberFormat="1" applyFont="1" applyFill="1" applyBorder="1" applyAlignment="1">
      <alignment vertical="center"/>
    </xf>
    <xf numFmtId="171" fontId="27" fillId="9" borderId="3" xfId="0" applyNumberFormat="1" applyFont="1" applyFill="1" applyBorder="1" applyAlignment="1">
      <alignment vertical="center"/>
    </xf>
    <xf numFmtId="10" fontId="27" fillId="9" borderId="16" xfId="3" applyNumberFormat="1" applyFont="1" applyFill="1" applyBorder="1" applyAlignment="1">
      <alignment vertical="center"/>
    </xf>
    <xf numFmtId="17" fontId="6" fillId="0" borderId="0" xfId="0" applyNumberFormat="1" applyFont="1" applyAlignment="1">
      <alignment vertical="center"/>
    </xf>
    <xf numFmtId="164" fontId="48" fillId="0" borderId="0" xfId="1" applyFont="1" applyAlignment="1">
      <alignment vertical="center"/>
    </xf>
    <xf numFmtId="164" fontId="48" fillId="0" borderId="0" xfId="1" applyFont="1" applyFill="1" applyAlignment="1">
      <alignment vertical="center"/>
    </xf>
    <xf numFmtId="164" fontId="49" fillId="0" borderId="0" xfId="0" applyNumberFormat="1" applyFont="1" applyAlignment="1">
      <alignment vertical="center"/>
    </xf>
    <xf numFmtId="0" fontId="48" fillId="0" borderId="50" xfId="0" applyFont="1" applyBorder="1" applyAlignment="1">
      <alignment vertical="center"/>
    </xf>
    <xf numFmtId="10" fontId="5" fillId="0" borderId="28" xfId="3" applyNumberFormat="1" applyFont="1" applyBorder="1" applyAlignment="1">
      <alignment horizontal="center" vertical="center"/>
    </xf>
    <xf numFmtId="10" fontId="5" fillId="0" borderId="37" xfId="3" applyNumberFormat="1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3" fontId="16" fillId="3" borderId="10" xfId="0" applyNumberFormat="1" applyFont="1" applyFill="1" applyBorder="1" applyAlignment="1">
      <alignment horizontal="center" vertical="center"/>
    </xf>
    <xf numFmtId="3" fontId="2" fillId="3" borderId="10" xfId="0" applyNumberFormat="1" applyFont="1" applyFill="1" applyBorder="1" applyAlignment="1">
      <alignment horizontal="center" vertical="center"/>
    </xf>
    <xf numFmtId="0" fontId="50" fillId="0" borderId="8" xfId="0" applyFont="1" applyBorder="1"/>
    <xf numFmtId="0" fontId="50" fillId="0" borderId="130" xfId="0" applyFont="1" applyBorder="1"/>
    <xf numFmtId="0" fontId="50" fillId="24" borderId="131" xfId="0" applyFont="1" applyFill="1" applyBorder="1"/>
    <xf numFmtId="0" fontId="50" fillId="0" borderId="132" xfId="0" applyFont="1" applyBorder="1"/>
    <xf numFmtId="0" fontId="50" fillId="24" borderId="133" xfId="0" applyFont="1" applyFill="1" applyBorder="1"/>
    <xf numFmtId="3" fontId="50" fillId="0" borderId="133" xfId="0" applyNumberFormat="1" applyFont="1" applyBorder="1"/>
    <xf numFmtId="0" fontId="50" fillId="0" borderId="20" xfId="0" applyFont="1" applyBorder="1"/>
    <xf numFmtId="0" fontId="50" fillId="0" borderId="21" xfId="0" applyFont="1" applyBorder="1"/>
    <xf numFmtId="0" fontId="5" fillId="0" borderId="134" xfId="0" applyFont="1" applyBorder="1" applyAlignment="1">
      <alignment vertical="center"/>
    </xf>
    <xf numFmtId="0" fontId="5" fillId="0" borderId="30" xfId="0" applyFont="1" applyBorder="1" applyAlignment="1">
      <alignment horizontal="center" vertical="center"/>
    </xf>
    <xf numFmtId="10" fontId="51" fillId="0" borderId="88" xfId="0" applyNumberFormat="1" applyFont="1" applyBorder="1" applyAlignment="1">
      <alignment horizontal="right" vertical="center"/>
    </xf>
    <xf numFmtId="0" fontId="51" fillId="0" borderId="83" xfId="0" applyFont="1" applyBorder="1" applyAlignment="1">
      <alignment horizontal="left" vertical="center" wrapText="1"/>
    </xf>
    <xf numFmtId="164" fontId="48" fillId="0" borderId="0" xfId="1" applyFont="1" applyBorder="1" applyAlignment="1">
      <alignment vertical="center"/>
    </xf>
    <xf numFmtId="0" fontId="52" fillId="0" borderId="0" xfId="0" applyFont="1" applyAlignment="1">
      <alignment vertical="center"/>
    </xf>
    <xf numFmtId="0" fontId="48" fillId="0" borderId="8" xfId="0" applyFont="1" applyBorder="1" applyAlignment="1">
      <alignment vertical="center"/>
    </xf>
    <xf numFmtId="164" fontId="47" fillId="0" borderId="9" xfId="1" applyFont="1" applyBorder="1" applyAlignment="1">
      <alignment vertical="center"/>
    </xf>
    <xf numFmtId="0" fontId="48" fillId="0" borderId="1" xfId="0" applyFont="1" applyBorder="1" applyAlignment="1">
      <alignment vertical="center"/>
    </xf>
    <xf numFmtId="4" fontId="48" fillId="0" borderId="1" xfId="0" applyNumberFormat="1" applyFont="1" applyBorder="1" applyAlignment="1">
      <alignment vertical="center"/>
    </xf>
    <xf numFmtId="164" fontId="48" fillId="0" borderId="1" xfId="1" applyFont="1" applyFill="1" applyBorder="1" applyAlignment="1">
      <alignment vertical="center"/>
    </xf>
    <xf numFmtId="164" fontId="47" fillId="7" borderId="16" xfId="1" applyFont="1" applyFill="1" applyBorder="1" applyAlignment="1">
      <alignment horizontal="center" vertical="center"/>
    </xf>
    <xf numFmtId="164" fontId="47" fillId="0" borderId="32" xfId="1" applyFont="1" applyBorder="1" applyAlignment="1">
      <alignment horizontal="center" vertical="center"/>
    </xf>
    <xf numFmtId="164" fontId="48" fillId="0" borderId="45" xfId="1" applyFont="1" applyBorder="1" applyAlignment="1">
      <alignment vertical="center"/>
    </xf>
    <xf numFmtId="164" fontId="47" fillId="0" borderId="45" xfId="1" applyFont="1" applyBorder="1" applyAlignment="1">
      <alignment vertical="center"/>
    </xf>
    <xf numFmtId="164" fontId="47" fillId="0" borderId="46" xfId="1" applyFont="1" applyBorder="1" applyAlignment="1">
      <alignment vertical="center"/>
    </xf>
    <xf numFmtId="164" fontId="47" fillId="0" borderId="7" xfId="1" applyFont="1" applyBorder="1" applyAlignment="1">
      <alignment horizontal="center" vertical="center"/>
    </xf>
    <xf numFmtId="164" fontId="47" fillId="8" borderId="34" xfId="1" applyFont="1" applyFill="1" applyBorder="1" applyAlignment="1">
      <alignment horizontal="left" vertical="center"/>
    </xf>
    <xf numFmtId="4" fontId="47" fillId="8" borderId="47" xfId="0" applyNumberFormat="1" applyFont="1" applyFill="1" applyBorder="1" applyAlignment="1">
      <alignment horizontal="centerContinuous" vertical="center"/>
    </xf>
    <xf numFmtId="164" fontId="47" fillId="8" borderId="47" xfId="1" applyFont="1" applyFill="1" applyBorder="1" applyAlignment="1">
      <alignment vertical="center"/>
    </xf>
    <xf numFmtId="171" fontId="47" fillId="8" borderId="9" xfId="0" applyNumberFormat="1" applyFont="1" applyFill="1" applyBorder="1" applyAlignment="1">
      <alignment vertical="center"/>
    </xf>
    <xf numFmtId="10" fontId="47" fillId="8" borderId="35" xfId="3" applyNumberFormat="1" applyFont="1" applyFill="1" applyBorder="1" applyAlignment="1">
      <alignment vertical="center"/>
    </xf>
    <xf numFmtId="164" fontId="48" fillId="0" borderId="34" xfId="1" applyFont="1" applyBorder="1" applyAlignment="1">
      <alignment horizontal="left" vertical="center"/>
    </xf>
    <xf numFmtId="4" fontId="48" fillId="0" borderId="47" xfId="0" applyNumberFormat="1" applyFont="1" applyBorder="1" applyAlignment="1">
      <alignment horizontal="centerContinuous" vertical="center"/>
    </xf>
    <xf numFmtId="164" fontId="48" fillId="0" borderId="47" xfId="1" applyFont="1" applyBorder="1" applyAlignment="1">
      <alignment vertical="center"/>
    </xf>
    <xf numFmtId="171" fontId="48" fillId="0" borderId="9" xfId="0" applyNumberFormat="1" applyFont="1" applyBorder="1" applyAlignment="1">
      <alignment vertical="center"/>
    </xf>
    <xf numFmtId="10" fontId="48" fillId="0" borderId="35" xfId="3" applyNumberFormat="1" applyFont="1" applyBorder="1" applyAlignment="1">
      <alignment vertical="center"/>
    </xf>
    <xf numFmtId="171" fontId="47" fillId="8" borderId="12" xfId="0" applyNumberFormat="1" applyFont="1" applyFill="1" applyBorder="1" applyAlignment="1">
      <alignment vertical="center"/>
    </xf>
    <xf numFmtId="164" fontId="47" fillId="7" borderId="14" xfId="1" applyFont="1" applyFill="1" applyBorder="1" applyAlignment="1">
      <alignment horizontal="left" vertical="center"/>
    </xf>
    <xf numFmtId="4" fontId="47" fillId="7" borderId="15" xfId="0" applyNumberFormat="1" applyFont="1" applyFill="1" applyBorder="1" applyAlignment="1">
      <alignment horizontal="centerContinuous" vertical="center"/>
    </xf>
    <xf numFmtId="164" fontId="47" fillId="7" borderId="15" xfId="1" applyFont="1" applyFill="1" applyBorder="1" applyAlignment="1">
      <alignment vertical="center"/>
    </xf>
    <xf numFmtId="172" fontId="47" fillId="7" borderId="49" xfId="0" applyNumberFormat="1" applyFont="1" applyFill="1" applyBorder="1" applyAlignment="1">
      <alignment vertical="center"/>
    </xf>
    <xf numFmtId="9" fontId="47" fillId="7" borderId="4" xfId="3" applyFont="1" applyFill="1" applyBorder="1" applyAlignment="1">
      <alignment vertical="center"/>
    </xf>
    <xf numFmtId="0" fontId="48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54" fillId="0" borderId="0" xfId="4" applyFont="1" applyAlignment="1" applyProtection="1">
      <alignment vertical="center"/>
    </xf>
    <xf numFmtId="164" fontId="48" fillId="0" borderId="9" xfId="1" applyFont="1" applyBorder="1" applyAlignment="1">
      <alignment vertical="center"/>
    </xf>
    <xf numFmtId="0" fontId="48" fillId="0" borderId="9" xfId="0" applyFont="1" applyBorder="1" applyAlignment="1">
      <alignment vertical="center"/>
    </xf>
    <xf numFmtId="1" fontId="48" fillId="0" borderId="9" xfId="1" applyNumberFormat="1" applyFont="1" applyBorder="1" applyAlignment="1">
      <alignment horizontal="center" vertical="center"/>
    </xf>
    <xf numFmtId="164" fontId="48" fillId="0" borderId="11" xfId="1" applyFont="1" applyBorder="1" applyAlignment="1">
      <alignment vertical="center"/>
    </xf>
    <xf numFmtId="164" fontId="48" fillId="0" borderId="12" xfId="1" applyFont="1" applyBorder="1" applyAlignment="1">
      <alignment vertical="center"/>
    </xf>
    <xf numFmtId="0" fontId="48" fillId="0" borderId="12" xfId="0" applyFont="1" applyBorder="1" applyAlignment="1">
      <alignment vertical="center"/>
    </xf>
    <xf numFmtId="1" fontId="48" fillId="0" borderId="13" xfId="1" applyNumberFormat="1" applyFont="1" applyBorder="1" applyAlignment="1">
      <alignment horizontal="center" vertical="center"/>
    </xf>
    <xf numFmtId="173" fontId="48" fillId="0" borderId="0" xfId="1" applyNumberFormat="1" applyFont="1" applyBorder="1" applyAlignment="1">
      <alignment horizontal="center" vertical="center"/>
    </xf>
    <xf numFmtId="164" fontId="47" fillId="0" borderId="14" xfId="1" applyFont="1" applyBorder="1" applyAlignment="1">
      <alignment vertical="center"/>
    </xf>
    <xf numFmtId="10" fontId="47" fillId="3" borderId="16" xfId="3" applyNumberFormat="1" applyFont="1" applyFill="1" applyBorder="1" applyAlignment="1">
      <alignment vertical="center"/>
    </xf>
    <xf numFmtId="173" fontId="47" fillId="0" borderId="0" xfId="1" applyNumberFormat="1" applyFont="1" applyBorder="1" applyAlignment="1">
      <alignment horizontal="center" vertical="center"/>
    </xf>
    <xf numFmtId="0" fontId="53" fillId="0" borderId="0" xfId="4" applyFont="1" applyAlignment="1" applyProtection="1">
      <alignment vertical="center"/>
    </xf>
    <xf numFmtId="0" fontId="47" fillId="11" borderId="2" xfId="0" applyFont="1" applyFill="1" applyBorder="1" applyAlignment="1">
      <alignment horizontal="center" vertical="center"/>
    </xf>
    <xf numFmtId="0" fontId="47" fillId="11" borderId="3" xfId="0" applyFont="1" applyFill="1" applyBorder="1" applyAlignment="1">
      <alignment horizontal="center" vertical="center"/>
    </xf>
    <xf numFmtId="164" fontId="47" fillId="11" borderId="3" xfId="1" applyFont="1" applyFill="1" applyBorder="1" applyAlignment="1">
      <alignment horizontal="center" vertical="center"/>
    </xf>
    <xf numFmtId="164" fontId="47" fillId="11" borderId="4" xfId="1" applyFont="1" applyFill="1" applyBorder="1" applyAlignment="1">
      <alignment horizontal="center" vertical="center"/>
    </xf>
    <xf numFmtId="0" fontId="48" fillId="0" borderId="51" xfId="0" applyFont="1" applyBorder="1" applyAlignment="1">
      <alignment horizontal="center" vertical="center"/>
    </xf>
    <xf numFmtId="164" fontId="48" fillId="3" borderId="51" xfId="1" applyFont="1" applyFill="1" applyBorder="1" applyAlignment="1">
      <alignment horizontal="center" vertical="center"/>
    </xf>
    <xf numFmtId="164" fontId="48" fillId="0" borderId="42" xfId="1" applyFont="1" applyBorder="1" applyAlignment="1">
      <alignment horizontal="center" vertical="center"/>
    </xf>
    <xf numFmtId="164" fontId="48" fillId="7" borderId="58" xfId="1" applyFont="1" applyFill="1" applyBorder="1" applyAlignment="1">
      <alignment vertical="center"/>
    </xf>
    <xf numFmtId="0" fontId="48" fillId="0" borderId="9" xfId="0" applyFont="1" applyBorder="1" applyAlignment="1">
      <alignment horizontal="center" vertical="center"/>
    </xf>
    <xf numFmtId="0" fontId="48" fillId="3" borderId="9" xfId="0" applyFont="1" applyFill="1" applyBorder="1" applyAlignment="1">
      <alignment horizontal="center" vertical="center"/>
    </xf>
    <xf numFmtId="164" fontId="48" fillId="0" borderId="9" xfId="1" applyFont="1" applyFill="1" applyBorder="1" applyAlignment="1">
      <alignment horizontal="center" vertical="center"/>
    </xf>
    <xf numFmtId="164" fontId="48" fillId="0" borderId="57" xfId="1" applyFont="1" applyBorder="1" applyAlignment="1">
      <alignment horizontal="center" vertical="center"/>
    </xf>
    <xf numFmtId="164" fontId="48" fillId="7" borderId="59" xfId="1" applyFont="1" applyFill="1" applyBorder="1" applyAlignment="1">
      <alignment vertical="center"/>
    </xf>
    <xf numFmtId="164" fontId="48" fillId="0" borderId="9" xfId="1" applyFont="1" applyBorder="1" applyAlignment="1">
      <alignment horizontal="center" vertical="center"/>
    </xf>
    <xf numFmtId="164" fontId="48" fillId="7" borderId="59" xfId="1" applyFont="1" applyFill="1" applyBorder="1" applyAlignment="1">
      <alignment horizontal="center" vertical="center"/>
    </xf>
    <xf numFmtId="164" fontId="48" fillId="12" borderId="9" xfId="1" applyFont="1" applyFill="1" applyBorder="1" applyAlignment="1">
      <alignment horizontal="center" vertical="center"/>
    </xf>
    <xf numFmtId="0" fontId="47" fillId="0" borderId="9" xfId="0" applyFont="1" applyBorder="1" applyAlignment="1">
      <alignment vertical="center"/>
    </xf>
    <xf numFmtId="0" fontId="47" fillId="0" borderId="9" xfId="0" applyFont="1" applyBorder="1" applyAlignment="1">
      <alignment horizontal="center" vertical="center"/>
    </xf>
    <xf numFmtId="164" fontId="47" fillId="0" borderId="9" xfId="1" applyFont="1" applyBorder="1" applyAlignment="1">
      <alignment horizontal="center" vertical="center"/>
    </xf>
    <xf numFmtId="164" fontId="48" fillId="3" borderId="9" xfId="1" applyFont="1" applyFill="1" applyBorder="1" applyAlignment="1">
      <alignment horizontal="center" vertical="center"/>
    </xf>
    <xf numFmtId="164" fontId="48" fillId="12" borderId="9" xfId="1" applyFont="1" applyFill="1" applyBorder="1" applyAlignment="1">
      <alignment vertical="center"/>
    </xf>
    <xf numFmtId="0" fontId="47" fillId="0" borderId="8" xfId="0" applyFont="1" applyBorder="1" applyAlignment="1">
      <alignment vertical="center"/>
    </xf>
    <xf numFmtId="164" fontId="47" fillId="0" borderId="57" xfId="1" applyFont="1" applyBorder="1" applyAlignment="1">
      <alignment horizontal="center" vertical="center"/>
    </xf>
    <xf numFmtId="0" fontId="47" fillId="0" borderId="54" xfId="0" applyFont="1" applyBorder="1" applyAlignment="1">
      <alignment vertical="center"/>
    </xf>
    <xf numFmtId="0" fontId="47" fillId="0" borderId="0" xfId="0" applyFont="1" applyAlignment="1">
      <alignment horizontal="center" vertical="center"/>
    </xf>
    <xf numFmtId="164" fontId="47" fillId="0" borderId="0" xfId="1" applyFont="1" applyBorder="1" applyAlignment="1">
      <alignment horizontal="center" vertical="center"/>
    </xf>
    <xf numFmtId="164" fontId="47" fillId="0" borderId="40" xfId="1" applyFont="1" applyBorder="1" applyAlignment="1">
      <alignment horizontal="center" vertical="center"/>
    </xf>
    <xf numFmtId="164" fontId="48" fillId="7" borderId="12" xfId="1" applyFont="1" applyFill="1" applyBorder="1" applyAlignment="1">
      <alignment horizontal="right" vertical="center"/>
    </xf>
    <xf numFmtId="177" fontId="48" fillId="7" borderId="62" xfId="1" applyNumberFormat="1" applyFont="1" applyFill="1" applyBorder="1" applyAlignment="1">
      <alignment vertical="center"/>
    </xf>
    <xf numFmtId="164" fontId="47" fillId="7" borderId="56" xfId="1" applyFont="1" applyFill="1" applyBorder="1" applyAlignment="1">
      <alignment horizontal="center" vertical="center"/>
    </xf>
    <xf numFmtId="164" fontId="48" fillId="7" borderId="58" xfId="1" applyFont="1" applyFill="1" applyBorder="1" applyAlignment="1">
      <alignment horizontal="center" vertical="center"/>
    </xf>
    <xf numFmtId="164" fontId="48" fillId="0" borderId="9" xfId="0" applyNumberFormat="1" applyFont="1" applyBorder="1" applyAlignment="1">
      <alignment horizontal="center" vertical="center"/>
    </xf>
    <xf numFmtId="164" fontId="47" fillId="0" borderId="9" xfId="1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164" fontId="48" fillId="0" borderId="51" xfId="1" applyFont="1" applyBorder="1" applyAlignment="1">
      <alignment horizontal="center" vertical="center"/>
    </xf>
    <xf numFmtId="164" fontId="47" fillId="7" borderId="59" xfId="1" applyFont="1" applyFill="1" applyBorder="1" applyAlignment="1">
      <alignment horizontal="center" vertical="center"/>
    </xf>
    <xf numFmtId="177" fontId="48" fillId="7" borderId="12" xfId="1" applyNumberFormat="1" applyFont="1" applyFill="1" applyBorder="1" applyAlignment="1">
      <alignment vertical="center"/>
    </xf>
    <xf numFmtId="3" fontId="48" fillId="0" borderId="0" xfId="0" applyNumberFormat="1" applyFont="1" applyAlignment="1">
      <alignment vertical="center"/>
    </xf>
    <xf numFmtId="0" fontId="47" fillId="0" borderId="14" xfId="0" applyFont="1" applyBorder="1" applyAlignment="1">
      <alignment vertical="center"/>
    </xf>
    <xf numFmtId="0" fontId="48" fillId="0" borderId="63" xfId="0" applyFont="1" applyBorder="1" applyAlignment="1">
      <alignment vertical="center"/>
    </xf>
    <xf numFmtId="0" fontId="48" fillId="0" borderId="64" xfId="0" applyFont="1" applyBorder="1" applyAlignment="1">
      <alignment horizontal="center" vertical="center"/>
    </xf>
    <xf numFmtId="4" fontId="48" fillId="3" borderId="64" xfId="0" applyNumberFormat="1" applyFont="1" applyFill="1" applyBorder="1" applyAlignment="1">
      <alignment horizontal="center" vertical="center"/>
    </xf>
    <xf numFmtId="164" fontId="48" fillId="0" borderId="65" xfId="1" applyFont="1" applyBorder="1" applyAlignment="1">
      <alignment horizontal="center" vertical="center"/>
    </xf>
    <xf numFmtId="0" fontId="48" fillId="0" borderId="66" xfId="0" applyFont="1" applyBorder="1" applyAlignment="1">
      <alignment vertical="center"/>
    </xf>
    <xf numFmtId="0" fontId="48" fillId="0" borderId="67" xfId="0" applyFont="1" applyBorder="1" applyAlignment="1">
      <alignment horizontal="center" vertical="center"/>
    </xf>
    <xf numFmtId="178" fontId="48" fillId="0" borderId="67" xfId="1" applyNumberFormat="1" applyFont="1" applyBorder="1" applyAlignment="1">
      <alignment horizontal="center" vertical="center"/>
    </xf>
    <xf numFmtId="164" fontId="48" fillId="0" borderId="68" xfId="1" applyFont="1" applyBorder="1" applyAlignment="1">
      <alignment horizontal="center" vertical="center"/>
    </xf>
    <xf numFmtId="0" fontId="48" fillId="0" borderId="36" xfId="0" applyFont="1" applyBorder="1" applyAlignment="1">
      <alignment vertical="center"/>
    </xf>
    <xf numFmtId="0" fontId="48" fillId="0" borderId="69" xfId="0" applyFont="1" applyBorder="1" applyAlignment="1">
      <alignment horizontal="center" vertical="center"/>
    </xf>
    <xf numFmtId="4" fontId="48" fillId="3" borderId="69" xfId="0" applyNumberFormat="1" applyFont="1" applyFill="1" applyBorder="1" applyAlignment="1">
      <alignment horizontal="center" vertical="center"/>
    </xf>
    <xf numFmtId="164" fontId="48" fillId="3" borderId="69" xfId="1" applyFont="1" applyFill="1" applyBorder="1" applyAlignment="1">
      <alignment horizontal="center" vertical="center"/>
    </xf>
    <xf numFmtId="164" fontId="48" fillId="0" borderId="70" xfId="1" applyFont="1" applyBorder="1" applyAlignment="1">
      <alignment horizontal="center" vertical="center"/>
    </xf>
    <xf numFmtId="0" fontId="48" fillId="0" borderId="38" xfId="0" applyFont="1" applyBorder="1" applyAlignment="1">
      <alignment vertical="center"/>
    </xf>
    <xf numFmtId="0" fontId="48" fillId="0" borderId="71" xfId="0" applyFont="1" applyBorder="1" applyAlignment="1">
      <alignment horizontal="center" vertical="center"/>
    </xf>
    <xf numFmtId="178" fontId="48" fillId="0" borderId="71" xfId="1" applyNumberFormat="1" applyFont="1" applyBorder="1" applyAlignment="1">
      <alignment horizontal="center" vertical="center"/>
    </xf>
    <xf numFmtId="164" fontId="48" fillId="0" borderId="72" xfId="1" applyFont="1" applyBorder="1" applyAlignment="1">
      <alignment horizontal="center" vertical="center"/>
    </xf>
    <xf numFmtId="0" fontId="48" fillId="0" borderId="25" xfId="0" applyFont="1" applyBorder="1" applyAlignment="1">
      <alignment vertical="center"/>
    </xf>
    <xf numFmtId="0" fontId="48" fillId="0" borderId="73" xfId="0" applyFont="1" applyBorder="1" applyAlignment="1">
      <alignment horizontal="center" vertical="center"/>
    </xf>
    <xf numFmtId="4" fontId="48" fillId="3" borderId="73" xfId="0" applyNumberFormat="1" applyFont="1" applyFill="1" applyBorder="1" applyAlignment="1">
      <alignment horizontal="center" vertical="center"/>
    </xf>
    <xf numFmtId="164" fontId="48" fillId="3" borderId="73" xfId="1" applyFont="1" applyFill="1" applyBorder="1" applyAlignment="1">
      <alignment horizontal="center" vertical="center"/>
    </xf>
    <xf numFmtId="164" fontId="48" fillId="0" borderId="74" xfId="1" applyFont="1" applyBorder="1" applyAlignment="1">
      <alignment horizontal="center" vertical="center"/>
    </xf>
    <xf numFmtId="173" fontId="47" fillId="0" borderId="9" xfId="1" applyNumberFormat="1" applyFont="1" applyBorder="1" applyAlignment="1">
      <alignment horizontal="center" vertical="center"/>
    </xf>
    <xf numFmtId="178" fontId="47" fillId="0" borderId="9" xfId="1" applyNumberFormat="1" applyFont="1" applyBorder="1" applyAlignment="1">
      <alignment horizontal="center" vertical="center"/>
    </xf>
    <xf numFmtId="173" fontId="48" fillId="0" borderId="9" xfId="1" applyNumberFormat="1" applyFont="1" applyBorder="1" applyAlignment="1">
      <alignment horizontal="center" vertical="center"/>
    </xf>
    <xf numFmtId="0" fontId="48" fillId="3" borderId="51" xfId="0" applyFont="1" applyFill="1" applyBorder="1" applyAlignment="1">
      <alignment horizontal="center" vertical="center"/>
    </xf>
    <xf numFmtId="164" fontId="48" fillId="0" borderId="51" xfId="1" applyFont="1" applyFill="1" applyBorder="1" applyAlignment="1">
      <alignment horizontal="center" vertical="center"/>
    </xf>
    <xf numFmtId="3" fontId="48" fillId="3" borderId="9" xfId="0" applyNumberFormat="1" applyFont="1" applyFill="1" applyBorder="1" applyAlignment="1">
      <alignment horizontal="center" vertical="center"/>
    </xf>
    <xf numFmtId="0" fontId="47" fillId="7" borderId="14" xfId="0" applyFont="1" applyFill="1" applyBorder="1" applyAlignment="1">
      <alignment vertical="center"/>
    </xf>
    <xf numFmtId="0" fontId="47" fillId="7" borderId="15" xfId="0" applyFont="1" applyFill="1" applyBorder="1" applyAlignment="1">
      <alignment vertical="center"/>
    </xf>
    <xf numFmtId="164" fontId="47" fillId="0" borderId="0" xfId="1" applyFont="1" applyBorder="1" applyAlignment="1">
      <alignment vertical="center"/>
    </xf>
    <xf numFmtId="164" fontId="47" fillId="0" borderId="0" xfId="1" applyFont="1" applyFill="1" applyBorder="1" applyAlignment="1">
      <alignment horizontal="center" vertical="center"/>
    </xf>
    <xf numFmtId="13" fontId="48" fillId="3" borderId="9" xfId="0" applyNumberFormat="1" applyFont="1" applyFill="1" applyBorder="1" applyAlignment="1">
      <alignment horizontal="center" vertical="center"/>
    </xf>
    <xf numFmtId="164" fontId="47" fillId="11" borderId="16" xfId="1" applyFont="1" applyFill="1" applyBorder="1" applyAlignment="1">
      <alignment horizontal="center" vertical="center"/>
    </xf>
    <xf numFmtId="1" fontId="48" fillId="0" borderId="9" xfId="0" applyNumberFormat="1" applyFont="1" applyBorder="1" applyAlignment="1">
      <alignment horizontal="center" vertical="center"/>
    </xf>
    <xf numFmtId="164" fontId="47" fillId="11" borderId="56" xfId="1" applyFont="1" applyFill="1" applyBorder="1" applyAlignment="1">
      <alignment horizontal="center" vertical="center"/>
    </xf>
    <xf numFmtId="164" fontId="47" fillId="11" borderId="16" xfId="1" applyFont="1" applyFill="1" applyBorder="1" applyAlignment="1">
      <alignment vertical="center"/>
    </xf>
    <xf numFmtId="0" fontId="48" fillId="7" borderId="15" xfId="0" applyFont="1" applyFill="1" applyBorder="1" applyAlignment="1">
      <alignment vertical="center"/>
    </xf>
    <xf numFmtId="164" fontId="48" fillId="7" borderId="15" xfId="1" applyFont="1" applyFill="1" applyBorder="1" applyAlignment="1">
      <alignment vertical="center"/>
    </xf>
    <xf numFmtId="4" fontId="48" fillId="0" borderId="0" xfId="0" applyNumberFormat="1" applyFont="1" applyAlignment="1">
      <alignment vertical="center"/>
    </xf>
    <xf numFmtId="4" fontId="52" fillId="0" borderId="0" xfId="0" applyNumberFormat="1" applyFont="1" applyAlignment="1">
      <alignment horizontal="right" vertical="center"/>
    </xf>
    <xf numFmtId="0" fontId="48" fillId="0" borderId="20" xfId="0" applyFont="1" applyBorder="1" applyAlignment="1">
      <alignment vertical="center"/>
    </xf>
    <xf numFmtId="164" fontId="48" fillId="0" borderId="0" xfId="1" applyFont="1" applyFill="1" applyBorder="1" applyAlignment="1">
      <alignment vertical="center"/>
    </xf>
    <xf numFmtId="164" fontId="48" fillId="0" borderId="21" xfId="1" applyFont="1" applyFill="1" applyBorder="1" applyAlignment="1">
      <alignment vertical="center"/>
    </xf>
    <xf numFmtId="164" fontId="47" fillId="8" borderId="34" xfId="1" applyFont="1" applyFill="1" applyBorder="1" applyAlignment="1">
      <alignment vertical="center"/>
    </xf>
    <xf numFmtId="164" fontId="47" fillId="8" borderId="47" xfId="0" applyNumberFormat="1" applyFont="1" applyFill="1" applyBorder="1" applyAlignment="1">
      <alignment vertical="center"/>
    </xf>
    <xf numFmtId="164" fontId="47" fillId="0" borderId="0" xfId="1" applyFont="1" applyAlignment="1">
      <alignment vertical="center"/>
    </xf>
    <xf numFmtId="164" fontId="48" fillId="0" borderId="34" xfId="1" applyFont="1" applyBorder="1" applyAlignment="1">
      <alignment vertical="center"/>
    </xf>
    <xf numFmtId="164" fontId="48" fillId="0" borderId="47" xfId="0" applyNumberFormat="1" applyFont="1" applyBorder="1" applyAlignment="1">
      <alignment vertical="center"/>
    </xf>
    <xf numFmtId="164" fontId="47" fillId="8" borderId="10" xfId="1" applyFont="1" applyFill="1" applyBorder="1" applyAlignment="1">
      <alignment horizontal="right" vertical="center"/>
    </xf>
    <xf numFmtId="164" fontId="48" fillId="0" borderId="8" xfId="1" applyFont="1" applyBorder="1" applyAlignment="1">
      <alignment vertical="center"/>
    </xf>
    <xf numFmtId="1" fontId="48" fillId="0" borderId="10" xfId="1" applyNumberFormat="1" applyFont="1" applyBorder="1" applyAlignment="1">
      <alignment horizontal="center" vertical="center"/>
    </xf>
    <xf numFmtId="164" fontId="47" fillId="0" borderId="8" xfId="1" applyFont="1" applyBorder="1" applyAlignment="1">
      <alignment vertical="center"/>
    </xf>
    <xf numFmtId="4" fontId="47" fillId="0" borderId="9" xfId="0" applyNumberFormat="1" applyFont="1" applyBorder="1" applyAlignment="1">
      <alignment vertical="center"/>
    </xf>
    <xf numFmtId="1" fontId="47" fillId="0" borderId="10" xfId="1" applyNumberFormat="1" applyFont="1" applyBorder="1" applyAlignment="1">
      <alignment horizontal="center" vertical="center"/>
    </xf>
    <xf numFmtId="164" fontId="48" fillId="0" borderId="10" xfId="1" applyFont="1" applyBorder="1" applyAlignment="1">
      <alignment vertical="center"/>
    </xf>
    <xf numFmtId="1" fontId="48" fillId="0" borderId="0" xfId="1" applyNumberFormat="1" applyFont="1" applyBorder="1" applyAlignment="1">
      <alignment horizontal="center" vertical="center"/>
    </xf>
    <xf numFmtId="164" fontId="48" fillId="0" borderId="0" xfId="1" applyFont="1" applyAlignment="1">
      <alignment horizontal="center" vertical="center"/>
    </xf>
    <xf numFmtId="164" fontId="48" fillId="7" borderId="21" xfId="1" applyFont="1" applyFill="1" applyBorder="1" applyAlignment="1">
      <alignment vertical="center"/>
    </xf>
    <xf numFmtId="1" fontId="48" fillId="3" borderId="9" xfId="0" applyNumberFormat="1" applyFont="1" applyFill="1" applyBorder="1" applyAlignment="1">
      <alignment horizontal="center" vertical="center"/>
    </xf>
    <xf numFmtId="164" fontId="47" fillId="0" borderId="48" xfId="1" applyFont="1" applyBorder="1" applyAlignment="1">
      <alignment horizontal="center" vertical="center"/>
    </xf>
    <xf numFmtId="0" fontId="48" fillId="0" borderId="54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3" borderId="48" xfId="0" applyFont="1" applyFill="1" applyBorder="1" applyAlignment="1">
      <alignment horizontal="center" vertical="center"/>
    </xf>
    <xf numFmtId="164" fontId="48" fillId="7" borderId="55" xfId="1" applyFont="1" applyFill="1" applyBorder="1" applyAlignment="1">
      <alignment horizontal="right" vertical="center"/>
    </xf>
    <xf numFmtId="164" fontId="47" fillId="7" borderId="21" xfId="1" applyFont="1" applyFill="1" applyBorder="1" applyAlignment="1">
      <alignment vertical="center"/>
    </xf>
    <xf numFmtId="164" fontId="48" fillId="3" borderId="0" xfId="1" applyFont="1" applyFill="1" applyBorder="1" applyAlignment="1">
      <alignment vertical="center"/>
    </xf>
    <xf numFmtId="0" fontId="48" fillId="3" borderId="0" xfId="0" applyFont="1" applyFill="1" applyAlignment="1">
      <alignment vertical="center"/>
    </xf>
    <xf numFmtId="173" fontId="48" fillId="0" borderId="9" xfId="1" applyNumberFormat="1" applyFont="1" applyBorder="1" applyAlignment="1">
      <alignment vertical="center"/>
    </xf>
    <xf numFmtId="164" fontId="47" fillId="7" borderId="56" xfId="1" applyFont="1" applyFill="1" applyBorder="1" applyAlignment="1">
      <alignment vertical="center"/>
    </xf>
    <xf numFmtId="173" fontId="48" fillId="0" borderId="9" xfId="1" applyNumberFormat="1" applyFont="1" applyFill="1" applyBorder="1" applyAlignment="1">
      <alignment vertical="center"/>
    </xf>
    <xf numFmtId="164" fontId="48" fillId="0" borderId="57" xfId="1" applyFont="1" applyBorder="1" applyAlignment="1">
      <alignment vertical="center"/>
    </xf>
    <xf numFmtId="164" fontId="47" fillId="7" borderId="58" xfId="1" applyFont="1" applyFill="1" applyBorder="1" applyAlignment="1">
      <alignment vertical="center"/>
    </xf>
    <xf numFmtId="164" fontId="47" fillId="7" borderId="59" xfId="1" applyFont="1" applyFill="1" applyBorder="1" applyAlignment="1">
      <alignment vertical="center"/>
    </xf>
    <xf numFmtId="164" fontId="47" fillId="7" borderId="16" xfId="1" applyFont="1" applyFill="1" applyBorder="1" applyAlignment="1">
      <alignment vertical="center"/>
    </xf>
    <xf numFmtId="0" fontId="47" fillId="11" borderId="3" xfId="0" applyFont="1" applyFill="1" applyBorder="1" applyAlignment="1">
      <alignment horizontal="center" vertical="center" wrapText="1"/>
    </xf>
    <xf numFmtId="13" fontId="48" fillId="3" borderId="51" xfId="0" applyNumberFormat="1" applyFont="1" applyFill="1" applyBorder="1" applyAlignment="1">
      <alignment horizontal="center" vertical="center"/>
    </xf>
    <xf numFmtId="0" fontId="48" fillId="0" borderId="8" xfId="0" applyFont="1" applyBorder="1"/>
    <xf numFmtId="0" fontId="48" fillId="0" borderId="9" xfId="0" applyFont="1" applyBorder="1" applyAlignment="1">
      <alignment horizontal="center"/>
    </xf>
    <xf numFmtId="164" fontId="48" fillId="7" borderId="59" xfId="1" applyFont="1" applyFill="1" applyBorder="1"/>
    <xf numFmtId="164" fontId="47" fillId="7" borderId="23" xfId="0" applyNumberFormat="1" applyFont="1" applyFill="1" applyBorder="1" applyAlignment="1">
      <alignment vertical="center"/>
    </xf>
    <xf numFmtId="0" fontId="47" fillId="7" borderId="1" xfId="0" applyFont="1" applyFill="1" applyBorder="1" applyAlignment="1">
      <alignment vertical="center"/>
    </xf>
    <xf numFmtId="4" fontId="47" fillId="3" borderId="16" xfId="0" applyNumberFormat="1" applyFont="1" applyFill="1" applyBorder="1" applyAlignment="1">
      <alignment vertical="center"/>
    </xf>
    <xf numFmtId="0" fontId="47" fillId="11" borderId="106" xfId="0" applyFont="1" applyFill="1" applyBorder="1" applyAlignment="1">
      <alignment horizontal="center" vertical="center"/>
    </xf>
    <xf numFmtId="0" fontId="47" fillId="11" borderId="107" xfId="0" applyFont="1" applyFill="1" applyBorder="1" applyAlignment="1">
      <alignment horizontal="center" vertical="center"/>
    </xf>
    <xf numFmtId="164" fontId="47" fillId="11" borderId="107" xfId="1" applyFont="1" applyFill="1" applyBorder="1" applyAlignment="1">
      <alignment horizontal="center" vertical="center"/>
    </xf>
    <xf numFmtId="178" fontId="48" fillId="3" borderId="64" xfId="1" applyNumberFormat="1" applyFont="1" applyFill="1" applyBorder="1" applyAlignment="1">
      <alignment horizontal="center" vertical="center"/>
    </xf>
    <xf numFmtId="179" fontId="48" fillId="0" borderId="67" xfId="1" applyNumberFormat="1" applyFont="1" applyBorder="1" applyAlignment="1">
      <alignment horizontal="center" vertical="center"/>
    </xf>
    <xf numFmtId="179" fontId="48" fillId="0" borderId="71" xfId="1" applyNumberFormat="1" applyFont="1" applyBorder="1" applyAlignment="1">
      <alignment horizontal="center" vertical="center"/>
    </xf>
    <xf numFmtId="179" fontId="48" fillId="0" borderId="9" xfId="1" applyNumberFormat="1" applyFont="1" applyBorder="1" applyAlignment="1">
      <alignment horizontal="center" vertical="center"/>
    </xf>
    <xf numFmtId="0" fontId="48" fillId="7" borderId="1" xfId="0" applyFont="1" applyFill="1" applyBorder="1" applyAlignment="1">
      <alignment vertical="center"/>
    </xf>
    <xf numFmtId="164" fontId="58" fillId="0" borderId="0" xfId="1" applyFont="1" applyAlignment="1">
      <alignment vertical="center"/>
    </xf>
    <xf numFmtId="0" fontId="47" fillId="0" borderId="15" xfId="0" applyFont="1" applyBorder="1" applyAlignment="1">
      <alignment vertical="center"/>
    </xf>
    <xf numFmtId="164" fontId="47" fillId="3" borderId="15" xfId="1" applyFont="1" applyFill="1" applyBorder="1" applyAlignment="1">
      <alignment vertical="center"/>
    </xf>
    <xf numFmtId="164" fontId="47" fillId="0" borderId="16" xfId="1" applyFont="1" applyBorder="1" applyAlignment="1">
      <alignment vertical="center"/>
    </xf>
    <xf numFmtId="164" fontId="47" fillId="7" borderId="15" xfId="1" applyFont="1" applyFill="1" applyBorder="1" applyAlignment="1">
      <alignment horizontal="right" vertical="center"/>
    </xf>
    <xf numFmtId="164" fontId="47" fillId="11" borderId="16" xfId="1" applyFont="1" applyFill="1" applyBorder="1" applyAlignment="1">
      <alignment horizontal="right" vertical="center"/>
    </xf>
    <xf numFmtId="171" fontId="48" fillId="0" borderId="0" xfId="0" applyNumberFormat="1" applyFont="1" applyAlignment="1">
      <alignment vertical="center"/>
    </xf>
    <xf numFmtId="9" fontId="48" fillId="0" borderId="0" xfId="3" applyFont="1" applyAlignment="1">
      <alignment vertical="center"/>
    </xf>
    <xf numFmtId="174" fontId="48" fillId="0" borderId="0" xfId="0" applyNumberFormat="1" applyFont="1" applyAlignment="1">
      <alignment vertical="center"/>
    </xf>
    <xf numFmtId="175" fontId="48" fillId="0" borderId="0" xfId="2" applyNumberFormat="1" applyFont="1" applyAlignment="1">
      <alignment vertical="center"/>
    </xf>
    <xf numFmtId="176" fontId="48" fillId="0" borderId="0" xfId="0" applyNumberFormat="1" applyFont="1" applyAlignment="1">
      <alignment vertical="center"/>
    </xf>
    <xf numFmtId="0" fontId="48" fillId="0" borderId="0" xfId="1" applyNumberFormat="1" applyFont="1" applyAlignment="1">
      <alignment vertical="center"/>
    </xf>
    <xf numFmtId="164" fontId="48" fillId="0" borderId="0" xfId="0" applyNumberFormat="1" applyFont="1" applyAlignment="1">
      <alignment vertical="center"/>
    </xf>
    <xf numFmtId="164" fontId="50" fillId="14" borderId="103" xfId="0" applyNumberFormat="1" applyFont="1" applyFill="1" applyBorder="1" applyAlignment="1">
      <alignment horizontal="center" vertical="center"/>
    </xf>
    <xf numFmtId="176" fontId="48" fillId="0" borderId="0" xfId="0" applyNumberFormat="1" applyFont="1"/>
    <xf numFmtId="0" fontId="48" fillId="0" borderId="0" xfId="0" applyFont="1"/>
    <xf numFmtId="43" fontId="48" fillId="0" borderId="0" xfId="0" applyNumberFormat="1" applyFont="1" applyAlignment="1">
      <alignment vertical="center"/>
    </xf>
    <xf numFmtId="178" fontId="48" fillId="0" borderId="0" xfId="1" applyNumberFormat="1" applyFont="1" applyAlignment="1">
      <alignment vertical="center"/>
    </xf>
    <xf numFmtId="178" fontId="48" fillId="0" borderId="0" xfId="1" applyNumberFormat="1" applyFont="1" applyFill="1" applyAlignment="1">
      <alignment vertical="center"/>
    </xf>
    <xf numFmtId="10" fontId="48" fillId="0" borderId="0" xfId="0" applyNumberFormat="1" applyFont="1" applyAlignment="1">
      <alignment vertical="center"/>
    </xf>
    <xf numFmtId="164" fontId="59" fillId="0" borderId="0" xfId="1" applyFont="1" applyAlignment="1">
      <alignment vertical="center"/>
    </xf>
    <xf numFmtId="0" fontId="58" fillId="0" borderId="0" xfId="0" applyFont="1" applyAlignment="1">
      <alignment vertical="center"/>
    </xf>
    <xf numFmtId="178" fontId="48" fillId="0" borderId="0" xfId="1" applyNumberFormat="1" applyFont="1" applyAlignment="1">
      <alignment horizontal="left" vertical="center"/>
    </xf>
    <xf numFmtId="164" fontId="60" fillId="0" borderId="0" xfId="1" applyFont="1" applyAlignment="1">
      <alignment vertical="center"/>
    </xf>
    <xf numFmtId="174" fontId="61" fillId="0" borderId="0" xfId="0" applyNumberFormat="1" applyFont="1" applyAlignment="1">
      <alignment vertical="center"/>
    </xf>
    <xf numFmtId="175" fontId="61" fillId="0" borderId="0" xfId="2" applyNumberFormat="1" applyFont="1" applyAlignment="1">
      <alignment vertical="center"/>
    </xf>
    <xf numFmtId="0" fontId="60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43" fontId="61" fillId="0" borderId="0" xfId="0" applyNumberFormat="1" applyFont="1" applyAlignment="1">
      <alignment vertical="center"/>
    </xf>
    <xf numFmtId="173" fontId="48" fillId="0" borderId="48" xfId="1" applyNumberFormat="1" applyFont="1" applyFill="1" applyBorder="1" applyAlignment="1">
      <alignment vertical="center"/>
    </xf>
    <xf numFmtId="164" fontId="48" fillId="3" borderId="48" xfId="1" applyFont="1" applyFill="1" applyBorder="1" applyAlignment="1">
      <alignment horizontal="center" vertical="center"/>
    </xf>
    <xf numFmtId="164" fontId="48" fillId="0" borderId="40" xfId="1" applyFont="1" applyBorder="1" applyAlignment="1">
      <alignment vertical="center"/>
    </xf>
    <xf numFmtId="164" fontId="47" fillId="10" borderId="9" xfId="1" applyFont="1" applyFill="1" applyBorder="1" applyAlignment="1">
      <alignment vertical="center"/>
    </xf>
    <xf numFmtId="164" fontId="48" fillId="10" borderId="9" xfId="1" applyFont="1" applyFill="1" applyBorder="1" applyAlignment="1">
      <alignment vertical="center"/>
    </xf>
    <xf numFmtId="164" fontId="47" fillId="7" borderId="10" xfId="1" applyFont="1" applyFill="1" applyBorder="1" applyAlignment="1">
      <alignment vertical="center"/>
    </xf>
    <xf numFmtId="164" fontId="48" fillId="7" borderId="111" xfId="1" applyFont="1" applyFill="1" applyBorder="1" applyAlignment="1">
      <alignment horizontal="right" vertical="center"/>
    </xf>
    <xf numFmtId="177" fontId="48" fillId="7" borderId="111" xfId="1" applyNumberFormat="1" applyFont="1" applyFill="1" applyBorder="1" applyAlignment="1">
      <alignment vertical="center"/>
    </xf>
    <xf numFmtId="0" fontId="62" fillId="0" borderId="0" xfId="0" applyFont="1" applyAlignment="1">
      <alignment vertical="center"/>
    </xf>
    <xf numFmtId="174" fontId="62" fillId="0" borderId="0" xfId="0" applyNumberFormat="1" applyFont="1" applyAlignment="1">
      <alignment vertical="center"/>
    </xf>
    <xf numFmtId="175" fontId="62" fillId="0" borderId="0" xfId="2" applyNumberFormat="1" applyFont="1" applyAlignment="1">
      <alignment vertical="center"/>
    </xf>
    <xf numFmtId="43" fontId="62" fillId="0" borderId="0" xfId="0" applyNumberFormat="1" applyFont="1" applyAlignment="1">
      <alignment vertical="center"/>
    </xf>
    <xf numFmtId="164" fontId="63" fillId="0" borderId="81" xfId="0" applyNumberFormat="1" applyFont="1" applyBorder="1" applyAlignment="1">
      <alignment vertical="center"/>
    </xf>
    <xf numFmtId="164" fontId="63" fillId="0" borderId="82" xfId="0" applyNumberFormat="1" applyFont="1" applyBorder="1" applyAlignment="1">
      <alignment vertical="center"/>
    </xf>
    <xf numFmtId="171" fontId="63" fillId="0" borderId="83" xfId="0" applyNumberFormat="1" applyFont="1" applyBorder="1" applyAlignment="1">
      <alignment vertical="center"/>
    </xf>
    <xf numFmtId="10" fontId="63" fillId="0" borderId="84" xfId="0" applyNumberFormat="1" applyFont="1" applyBorder="1" applyAlignment="1">
      <alignment vertical="center"/>
    </xf>
    <xf numFmtId="164" fontId="50" fillId="0" borderId="81" xfId="0" applyNumberFormat="1" applyFont="1" applyBorder="1" applyAlignment="1">
      <alignment vertical="center"/>
    </xf>
    <xf numFmtId="164" fontId="50" fillId="0" borderId="82" xfId="0" applyNumberFormat="1" applyFont="1" applyBorder="1" applyAlignment="1">
      <alignment vertical="center"/>
    </xf>
    <xf numFmtId="171" fontId="50" fillId="0" borderId="83" xfId="0" applyNumberFormat="1" applyFont="1" applyBorder="1" applyAlignment="1">
      <alignment vertical="center"/>
    </xf>
    <xf numFmtId="10" fontId="50" fillId="0" borderId="84" xfId="0" applyNumberFormat="1" applyFont="1" applyBorder="1" applyAlignment="1">
      <alignment vertical="center"/>
    </xf>
    <xf numFmtId="164" fontId="63" fillId="0" borderId="81" xfId="0" applyNumberFormat="1" applyFont="1" applyBorder="1" applyAlignment="1">
      <alignment horizontal="left" vertical="center"/>
    </xf>
    <xf numFmtId="4" fontId="63" fillId="0" borderId="82" xfId="0" applyNumberFormat="1" applyFont="1" applyBorder="1" applyAlignment="1">
      <alignment horizontal="center" vertical="center"/>
    </xf>
    <xf numFmtId="164" fontId="50" fillId="0" borderId="81" xfId="0" applyNumberFormat="1" applyFont="1" applyBorder="1" applyAlignment="1">
      <alignment horizontal="left" vertical="center"/>
    </xf>
    <xf numFmtId="4" fontId="50" fillId="0" borderId="82" xfId="0" applyNumberFormat="1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164" fontId="50" fillId="0" borderId="0" xfId="0" applyNumberFormat="1" applyFont="1" applyAlignment="1">
      <alignment vertical="center"/>
    </xf>
    <xf numFmtId="164" fontId="63" fillId="0" borderId="87" xfId="0" applyNumberFormat="1" applyFont="1" applyBorder="1" applyAlignment="1">
      <alignment horizontal="right" vertical="center"/>
    </xf>
    <xf numFmtId="164" fontId="50" fillId="0" borderId="78" xfId="0" applyNumberFormat="1" applyFont="1" applyBorder="1" applyAlignment="1">
      <alignment vertical="center"/>
    </xf>
    <xf numFmtId="164" fontId="50" fillId="0" borderId="79" xfId="0" applyNumberFormat="1" applyFont="1" applyBorder="1" applyAlignment="1">
      <alignment vertical="center"/>
    </xf>
    <xf numFmtId="0" fontId="50" fillId="0" borderId="79" xfId="0" applyFont="1" applyBorder="1" applyAlignment="1">
      <alignment vertical="center"/>
    </xf>
    <xf numFmtId="1" fontId="50" fillId="0" borderId="80" xfId="0" applyNumberFormat="1" applyFont="1" applyBorder="1" applyAlignment="1">
      <alignment horizontal="center" vertical="center"/>
    </xf>
    <xf numFmtId="0" fontId="50" fillId="0" borderId="82" xfId="0" applyFont="1" applyBorder="1" applyAlignment="1">
      <alignment vertical="center"/>
    </xf>
    <xf numFmtId="1" fontId="50" fillId="0" borderId="88" xfId="0" applyNumberFormat="1" applyFont="1" applyBorder="1" applyAlignment="1">
      <alignment horizontal="center" vertical="center"/>
    </xf>
    <xf numFmtId="164" fontId="63" fillId="0" borderId="90" xfId="0" applyNumberFormat="1" applyFont="1" applyBorder="1" applyAlignment="1">
      <alignment vertical="center"/>
    </xf>
    <xf numFmtId="4" fontId="63" fillId="0" borderId="91" xfId="0" applyNumberFormat="1" applyFont="1" applyBorder="1" applyAlignment="1">
      <alignment vertical="center"/>
    </xf>
    <xf numFmtId="0" fontId="50" fillId="0" borderId="91" xfId="0" applyFont="1" applyBorder="1" applyAlignment="1">
      <alignment vertical="center"/>
    </xf>
    <xf numFmtId="1" fontId="63" fillId="0" borderId="92" xfId="0" applyNumberFormat="1" applyFont="1" applyBorder="1" applyAlignment="1">
      <alignment horizontal="center" vertical="center"/>
    </xf>
    <xf numFmtId="164" fontId="63" fillId="0" borderId="89" xfId="0" applyNumberFormat="1" applyFont="1" applyBorder="1" applyAlignment="1">
      <alignment vertical="center"/>
    </xf>
    <xf numFmtId="4" fontId="63" fillId="0" borderId="0" xfId="0" applyNumberFormat="1" applyFont="1" applyAlignment="1">
      <alignment vertical="center"/>
    </xf>
    <xf numFmtId="164" fontId="50" fillId="0" borderId="93" xfId="0" applyNumberFormat="1" applyFont="1" applyBorder="1" applyAlignment="1">
      <alignment vertical="center"/>
    </xf>
    <xf numFmtId="0" fontId="48" fillId="10" borderId="34" xfId="0" applyFont="1" applyFill="1" applyBorder="1" applyAlignment="1">
      <alignment horizontal="left" vertical="center"/>
    </xf>
    <xf numFmtId="0" fontId="48" fillId="0" borderId="82" xfId="0" applyFont="1" applyBorder="1"/>
    <xf numFmtId="0" fontId="48" fillId="0" borderId="97" xfId="0" applyFont="1" applyBorder="1"/>
    <xf numFmtId="1" fontId="50" fillId="0" borderId="98" xfId="0" applyNumberFormat="1" applyFont="1" applyBorder="1" applyAlignment="1">
      <alignment horizontal="center" vertical="center"/>
    </xf>
    <xf numFmtId="0" fontId="48" fillId="10" borderId="60" xfId="0" applyFont="1" applyFill="1" applyBorder="1" applyAlignment="1">
      <alignment horizontal="left" vertical="center"/>
    </xf>
    <xf numFmtId="164" fontId="50" fillId="0" borderId="99" xfId="0" applyNumberFormat="1" applyFont="1" applyBorder="1" applyAlignment="1">
      <alignment vertical="center"/>
    </xf>
    <xf numFmtId="0" fontId="50" fillId="0" borderId="99" xfId="0" applyFont="1" applyBorder="1" applyAlignment="1">
      <alignment vertical="center"/>
    </xf>
    <xf numFmtId="1" fontId="50" fillId="0" borderId="100" xfId="0" applyNumberFormat="1" applyFont="1" applyBorder="1" applyAlignment="1">
      <alignment horizontal="center" vertical="center"/>
    </xf>
    <xf numFmtId="1" fontId="50" fillId="0" borderId="0" xfId="0" applyNumberFormat="1" applyFont="1" applyAlignment="1">
      <alignment horizontal="center" vertical="center"/>
    </xf>
    <xf numFmtId="173" fontId="50" fillId="0" borderId="0" xfId="0" applyNumberFormat="1" applyFont="1" applyAlignment="1">
      <alignment horizontal="center" vertical="center"/>
    </xf>
    <xf numFmtId="164" fontId="63" fillId="0" borderId="75" xfId="0" applyNumberFormat="1" applyFont="1" applyBorder="1" applyAlignment="1">
      <alignment vertical="center"/>
    </xf>
    <xf numFmtId="10" fontId="63" fillId="26" borderId="77" xfId="0" applyNumberFormat="1" applyFont="1" applyFill="1" applyBorder="1" applyAlignment="1">
      <alignment vertical="center"/>
    </xf>
    <xf numFmtId="164" fontId="63" fillId="0" borderId="0" xfId="0" applyNumberFormat="1" applyFont="1" applyAlignment="1">
      <alignment vertical="center"/>
    </xf>
    <xf numFmtId="0" fontId="63" fillId="0" borderId="0" xfId="0" applyFont="1" applyAlignment="1">
      <alignment vertical="center"/>
    </xf>
    <xf numFmtId="173" fontId="63" fillId="0" borderId="0" xfId="0" applyNumberFormat="1" applyFont="1" applyAlignment="1">
      <alignment horizontal="center" vertical="center"/>
    </xf>
    <xf numFmtId="0" fontId="63" fillId="15" borderId="101" xfId="0" applyFont="1" applyFill="1" applyBorder="1" applyAlignment="1">
      <alignment horizontal="center" vertical="center"/>
    </xf>
    <xf numFmtId="0" fontId="63" fillId="15" borderId="102" xfId="0" applyFont="1" applyFill="1" applyBorder="1" applyAlignment="1">
      <alignment horizontal="center" vertical="center"/>
    </xf>
    <xf numFmtId="164" fontId="63" fillId="15" borderId="102" xfId="0" applyNumberFormat="1" applyFont="1" applyFill="1" applyBorder="1" applyAlignment="1">
      <alignment horizontal="center" vertical="center"/>
    </xf>
    <xf numFmtId="164" fontId="63" fillId="15" borderId="85" xfId="0" applyNumberFormat="1" applyFont="1" applyFill="1" applyBorder="1" applyAlignment="1">
      <alignment horizontal="center" vertical="center"/>
    </xf>
    <xf numFmtId="0" fontId="63" fillId="14" borderId="0" xfId="0" applyFont="1" applyFill="1" applyAlignment="1">
      <alignment vertical="center"/>
    </xf>
    <xf numFmtId="164" fontId="63" fillId="14" borderId="0" xfId="0" applyNumberFormat="1" applyFont="1" applyFill="1" applyAlignment="1">
      <alignment vertical="center"/>
    </xf>
    <xf numFmtId="0" fontId="50" fillId="14" borderId="83" xfId="0" applyFont="1" applyFill="1" applyBorder="1" applyAlignment="1">
      <alignment vertical="center"/>
    </xf>
    <xf numFmtId="0" fontId="50" fillId="14" borderId="83" xfId="0" applyFont="1" applyFill="1" applyBorder="1" applyAlignment="1">
      <alignment horizontal="center" vertical="center"/>
    </xf>
    <xf numFmtId="173" fontId="50" fillId="14" borderId="83" xfId="0" applyNumberFormat="1" applyFont="1" applyFill="1" applyBorder="1" applyAlignment="1">
      <alignment vertical="center"/>
    </xf>
    <xf numFmtId="164" fontId="50" fillId="14" borderId="83" xfId="0" applyNumberFormat="1" applyFont="1" applyFill="1" applyBorder="1" applyAlignment="1">
      <alignment horizontal="center" vertical="center"/>
    </xf>
    <xf numFmtId="0" fontId="50" fillId="14" borderId="103" xfId="0" applyFont="1" applyFill="1" applyBorder="1" applyAlignment="1">
      <alignment vertical="center"/>
    </xf>
    <xf numFmtId="0" fontId="50" fillId="14" borderId="103" xfId="0" applyFont="1" applyFill="1" applyBorder="1" applyAlignment="1">
      <alignment horizontal="center" vertical="center"/>
    </xf>
    <xf numFmtId="0" fontId="50" fillId="14" borderId="0" xfId="0" applyFont="1" applyFill="1" applyAlignment="1">
      <alignment vertical="center"/>
    </xf>
    <xf numFmtId="164" fontId="50" fillId="14" borderId="0" xfId="0" applyNumberFormat="1" applyFont="1" applyFill="1" applyAlignment="1">
      <alignment vertical="center"/>
    </xf>
    <xf numFmtId="178" fontId="47" fillId="0" borderId="0" xfId="1" applyNumberFormat="1" applyFont="1" applyAlignment="1">
      <alignment horizontal="center" vertical="center"/>
    </xf>
    <xf numFmtId="0" fontId="63" fillId="15" borderId="102" xfId="0" applyFont="1" applyFill="1" applyBorder="1" applyAlignment="1">
      <alignment horizontal="center" vertical="center" wrapText="1"/>
    </xf>
    <xf numFmtId="164" fontId="50" fillId="0" borderId="103" xfId="0" applyNumberFormat="1" applyFont="1" applyBorder="1" applyAlignment="1">
      <alignment horizontal="center" vertical="center"/>
    </xf>
    <xf numFmtId="164" fontId="50" fillId="0" borderId="83" xfId="0" applyNumberFormat="1" applyFont="1" applyBorder="1" applyAlignment="1">
      <alignment horizontal="center" vertical="center"/>
    </xf>
    <xf numFmtId="164" fontId="50" fillId="0" borderId="0" xfId="0" applyNumberFormat="1" applyFont="1" applyAlignment="1">
      <alignment horizontal="right" vertical="center"/>
    </xf>
    <xf numFmtId="0" fontId="63" fillId="0" borderId="75" xfId="0" applyFont="1" applyBorder="1" applyAlignment="1">
      <alignment vertical="center"/>
    </xf>
    <xf numFmtId="0" fontId="50" fillId="0" borderId="76" xfId="0" applyFont="1" applyBorder="1" applyAlignment="1">
      <alignment vertical="center"/>
    </xf>
    <xf numFmtId="164" fontId="50" fillId="0" borderId="76" xfId="0" applyNumberFormat="1" applyFont="1" applyBorder="1" applyAlignment="1">
      <alignment vertical="center"/>
    </xf>
    <xf numFmtId="164" fontId="50" fillId="0" borderId="77" xfId="0" applyNumberFormat="1" applyFont="1" applyBorder="1" applyAlignment="1">
      <alignment vertical="center"/>
    </xf>
    <xf numFmtId="164" fontId="63" fillId="15" borderId="104" xfId="0" applyNumberFormat="1" applyFont="1" applyFill="1" applyBorder="1" applyAlignment="1">
      <alignment horizontal="center" vertical="center"/>
    </xf>
    <xf numFmtId="0" fontId="50" fillId="0" borderId="103" xfId="0" applyFont="1" applyBorder="1" applyAlignment="1">
      <alignment horizontal="center" vertical="center"/>
    </xf>
    <xf numFmtId="0" fontId="50" fillId="0" borderId="83" xfId="0" applyFont="1" applyBorder="1" applyAlignment="1">
      <alignment horizontal="center" vertical="center"/>
    </xf>
    <xf numFmtId="0" fontId="63" fillId="0" borderId="9" xfId="0" applyFont="1" applyBorder="1" applyAlignment="1">
      <alignment horizontal="center" vertical="center"/>
    </xf>
    <xf numFmtId="164" fontId="63" fillId="0" borderId="9" xfId="0" applyNumberFormat="1" applyFont="1" applyBorder="1" applyAlignment="1">
      <alignment horizontal="center" vertical="center"/>
    </xf>
    <xf numFmtId="0" fontId="50" fillId="0" borderId="9" xfId="0" applyFont="1" applyBorder="1" applyAlignment="1">
      <alignment vertical="center"/>
    </xf>
    <xf numFmtId="0" fontId="50" fillId="0" borderId="9" xfId="0" applyFont="1" applyBorder="1" applyAlignment="1">
      <alignment horizontal="center" vertical="center"/>
    </xf>
    <xf numFmtId="164" fontId="50" fillId="0" borderId="9" xfId="0" applyNumberFormat="1" applyFont="1" applyBorder="1" applyAlignment="1">
      <alignment horizontal="center" vertical="center"/>
    </xf>
    <xf numFmtId="0" fontId="50" fillId="0" borderId="103" xfId="0" applyFont="1" applyBorder="1" applyAlignment="1">
      <alignment vertical="center"/>
    </xf>
    <xf numFmtId="0" fontId="63" fillId="0" borderId="83" xfId="0" applyFont="1" applyBorder="1" applyAlignment="1">
      <alignment vertical="center"/>
    </xf>
    <xf numFmtId="0" fontId="63" fillId="0" borderId="83" xfId="0" applyFont="1" applyBorder="1" applyAlignment="1">
      <alignment horizontal="center" vertical="center"/>
    </xf>
    <xf numFmtId="164" fontId="63" fillId="0" borderId="83" xfId="0" applyNumberFormat="1" applyFont="1" applyBorder="1" applyAlignment="1">
      <alignment horizontal="center" vertical="center"/>
    </xf>
    <xf numFmtId="164" fontId="63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0" fontId="50" fillId="0" borderId="83" xfId="0" applyFont="1" applyBorder="1" applyAlignment="1">
      <alignment vertical="center"/>
    </xf>
    <xf numFmtId="43" fontId="48" fillId="10" borderId="9" xfId="1" applyNumberFormat="1" applyFont="1" applyFill="1" applyBorder="1" applyAlignment="1">
      <alignment horizontal="center" vertical="center"/>
    </xf>
    <xf numFmtId="0" fontId="63" fillId="14" borderId="83" xfId="0" applyFont="1" applyFill="1" applyBorder="1" applyAlignment="1">
      <alignment vertical="center"/>
    </xf>
    <xf numFmtId="0" fontId="63" fillId="14" borderId="83" xfId="0" applyFont="1" applyFill="1" applyBorder="1" applyAlignment="1">
      <alignment horizontal="center" vertical="center"/>
    </xf>
    <xf numFmtId="164" fontId="50" fillId="17" borderId="83" xfId="0" applyNumberFormat="1" applyFont="1" applyFill="1" applyBorder="1" applyAlignment="1">
      <alignment horizontal="center" vertical="center"/>
    </xf>
    <xf numFmtId="164" fontId="63" fillId="14" borderId="83" xfId="0" applyNumberFormat="1" applyFont="1" applyFill="1" applyBorder="1" applyAlignment="1">
      <alignment horizontal="center" vertical="center"/>
    </xf>
    <xf numFmtId="3" fontId="50" fillId="0" borderId="0" xfId="0" applyNumberFormat="1" applyFont="1" applyAlignment="1">
      <alignment vertical="center"/>
    </xf>
    <xf numFmtId="0" fontId="47" fillId="0" borderId="105" xfId="0" applyFont="1" applyBorder="1" applyAlignment="1">
      <alignment vertical="center"/>
    </xf>
    <xf numFmtId="3" fontId="50" fillId="14" borderId="0" xfId="0" applyNumberFormat="1" applyFont="1" applyFill="1" applyAlignment="1">
      <alignment vertical="center"/>
    </xf>
    <xf numFmtId="0" fontId="48" fillId="0" borderId="107" xfId="0" applyFont="1" applyBorder="1" applyAlignment="1">
      <alignment horizontal="center" vertical="center"/>
    </xf>
    <xf numFmtId="43" fontId="48" fillId="0" borderId="9" xfId="1" applyNumberFormat="1" applyFont="1" applyBorder="1" applyAlignment="1">
      <alignment horizontal="center" vertical="center"/>
    </xf>
    <xf numFmtId="173" fontId="50" fillId="14" borderId="83" xfId="0" applyNumberFormat="1" applyFont="1" applyFill="1" applyBorder="1" applyAlignment="1">
      <alignment horizontal="center" vertical="center"/>
    </xf>
    <xf numFmtId="43" fontId="48" fillId="10" borderId="51" xfId="1" applyNumberFormat="1" applyFont="1" applyFill="1" applyBorder="1" applyAlignment="1">
      <alignment horizontal="center" vertical="center"/>
    </xf>
    <xf numFmtId="43" fontId="48" fillId="0" borderId="42" xfId="1" applyNumberFormat="1" applyFont="1" applyBorder="1" applyAlignment="1">
      <alignment horizontal="center" vertical="center"/>
    </xf>
    <xf numFmtId="43" fontId="48" fillId="0" borderId="57" xfId="1" applyNumberFormat="1" applyFont="1" applyBorder="1" applyAlignment="1">
      <alignment horizontal="center" vertical="center"/>
    </xf>
    <xf numFmtId="173" fontId="50" fillId="0" borderId="83" xfId="0" applyNumberFormat="1" applyFont="1" applyBorder="1" applyAlignment="1">
      <alignment horizontal="center" vertical="center"/>
    </xf>
    <xf numFmtId="0" fontId="63" fillId="0" borderId="76" xfId="0" applyFont="1" applyBorder="1" applyAlignment="1">
      <alignment vertical="center"/>
    </xf>
    <xf numFmtId="164" fontId="63" fillId="0" borderId="76" xfId="0" applyNumberFormat="1" applyFont="1" applyBorder="1" applyAlignment="1">
      <alignment vertical="center"/>
    </xf>
    <xf numFmtId="164" fontId="63" fillId="0" borderId="77" xfId="0" applyNumberFormat="1" applyFont="1" applyBorder="1" applyAlignment="1">
      <alignment vertical="center"/>
    </xf>
    <xf numFmtId="0" fontId="65" fillId="0" borderId="0" xfId="0" applyFont="1" applyAlignment="1">
      <alignment vertical="center"/>
    </xf>
    <xf numFmtId="164" fontId="63" fillId="15" borderId="104" xfId="0" applyNumberFormat="1" applyFont="1" applyFill="1" applyBorder="1" applyAlignment="1">
      <alignment vertical="center"/>
    </xf>
    <xf numFmtId="10" fontId="50" fillId="18" borderId="83" xfId="3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left" vertical="center"/>
    </xf>
    <xf numFmtId="164" fontId="48" fillId="0" borderId="0" xfId="1" applyFont="1" applyFill="1" applyBorder="1" applyAlignment="1">
      <alignment horizontal="right" vertical="center"/>
    </xf>
    <xf numFmtId="177" fontId="48" fillId="0" borderId="0" xfId="1" applyNumberFormat="1" applyFont="1" applyFill="1" applyBorder="1" applyAlignment="1">
      <alignment vertical="center"/>
    </xf>
    <xf numFmtId="164" fontId="63" fillId="16" borderId="0" xfId="0" applyNumberFormat="1" applyFont="1" applyFill="1" applyAlignment="1">
      <alignment horizontal="center" vertical="center"/>
    </xf>
    <xf numFmtId="171" fontId="67" fillId="0" borderId="0" xfId="1" applyNumberFormat="1" applyFont="1" applyAlignment="1">
      <alignment vertical="center"/>
    </xf>
    <xf numFmtId="0" fontId="27" fillId="0" borderId="9" xfId="0" applyFont="1" applyBorder="1" applyAlignment="1">
      <alignment vertical="center"/>
    </xf>
    <xf numFmtId="164" fontId="63" fillId="27" borderId="104" xfId="0" applyNumberFormat="1" applyFont="1" applyFill="1" applyBorder="1" applyAlignment="1">
      <alignment horizontal="center" vertical="center"/>
    </xf>
    <xf numFmtId="164" fontId="50" fillId="7" borderId="0" xfId="0" applyNumberFormat="1" applyFont="1" applyFill="1" applyAlignment="1">
      <alignment vertical="center"/>
    </xf>
    <xf numFmtId="164" fontId="50" fillId="7" borderId="0" xfId="0" applyNumberFormat="1" applyFont="1" applyFill="1" applyAlignment="1">
      <alignment horizontal="center" vertical="center"/>
    </xf>
    <xf numFmtId="0" fontId="63" fillId="15" borderId="135" xfId="0" applyFont="1" applyFill="1" applyBorder="1" applyAlignment="1">
      <alignment horizontal="center" vertical="center"/>
    </xf>
    <xf numFmtId="0" fontId="63" fillId="15" borderId="136" xfId="0" applyFont="1" applyFill="1" applyBorder="1" applyAlignment="1">
      <alignment horizontal="center" vertical="center"/>
    </xf>
    <xf numFmtId="164" fontId="63" fillId="15" borderId="136" xfId="0" applyNumberFormat="1" applyFont="1" applyFill="1" applyBorder="1" applyAlignment="1">
      <alignment horizontal="center" vertical="center"/>
    </xf>
    <xf numFmtId="164" fontId="6" fillId="7" borderId="111" xfId="1" applyFont="1" applyFill="1" applyBorder="1" applyAlignment="1">
      <alignment horizontal="right" vertical="center"/>
    </xf>
    <xf numFmtId="164" fontId="50" fillId="7" borderId="103" xfId="0" applyNumberFormat="1" applyFont="1" applyFill="1" applyBorder="1" applyAlignment="1">
      <alignment vertical="center"/>
    </xf>
    <xf numFmtId="0" fontId="63" fillId="0" borderId="9" xfId="0" applyFont="1" applyBorder="1" applyAlignment="1">
      <alignment vertical="center"/>
    </xf>
    <xf numFmtId="0" fontId="50" fillId="3" borderId="9" xfId="0" applyFont="1" applyFill="1" applyBorder="1" applyAlignment="1">
      <alignment horizontal="center" vertical="center"/>
    </xf>
    <xf numFmtId="164" fontId="50" fillId="3" borderId="9" xfId="0" applyNumberFormat="1" applyFont="1" applyFill="1" applyBorder="1" applyAlignment="1">
      <alignment horizontal="center" vertical="center"/>
    </xf>
    <xf numFmtId="0" fontId="50" fillId="3" borderId="103" xfId="0" applyFont="1" applyFill="1" applyBorder="1" applyAlignment="1">
      <alignment horizontal="center" vertical="center"/>
    </xf>
    <xf numFmtId="43" fontId="48" fillId="3" borderId="9" xfId="1" applyNumberFormat="1" applyFont="1" applyFill="1" applyBorder="1" applyAlignment="1">
      <alignment horizontal="center" vertical="center"/>
    </xf>
    <xf numFmtId="164" fontId="63" fillId="28" borderId="0" xfId="0" applyNumberFormat="1" applyFont="1" applyFill="1" applyAlignment="1">
      <alignment horizontal="center" vertical="center"/>
    </xf>
    <xf numFmtId="164" fontId="50" fillId="28" borderId="0" xfId="0" applyNumberFormat="1" applyFont="1" applyFill="1" applyAlignment="1">
      <alignment vertical="center"/>
    </xf>
    <xf numFmtId="164" fontId="63" fillId="28" borderId="77" xfId="0" applyNumberFormat="1" applyFont="1" applyFill="1" applyBorder="1" applyAlignment="1">
      <alignment horizontal="center" vertical="center"/>
    </xf>
    <xf numFmtId="3" fontId="50" fillId="26" borderId="83" xfId="0" applyNumberFormat="1" applyFont="1" applyFill="1" applyBorder="1" applyAlignment="1">
      <alignment vertical="center"/>
    </xf>
    <xf numFmtId="0" fontId="66" fillId="0" borderId="0" xfId="0" applyFont="1" applyAlignment="1">
      <alignment vertical="center"/>
    </xf>
    <xf numFmtId="0" fontId="27" fillId="11" borderId="106" xfId="0" applyFont="1" applyFill="1" applyBorder="1" applyAlignment="1">
      <alignment horizontal="center" vertical="center"/>
    </xf>
    <xf numFmtId="0" fontId="27" fillId="11" borderId="107" xfId="0" applyFont="1" applyFill="1" applyBorder="1" applyAlignment="1">
      <alignment horizontal="center" vertical="center"/>
    </xf>
    <xf numFmtId="164" fontId="27" fillId="11" borderId="107" xfId="1" applyFont="1" applyFill="1" applyBorder="1" applyAlignment="1">
      <alignment horizontal="center" vertical="center"/>
    </xf>
    <xf numFmtId="164" fontId="63" fillId="28" borderId="104" xfId="0" applyNumberFormat="1" applyFont="1" applyFill="1" applyBorder="1" applyAlignment="1">
      <alignment horizontal="center" vertical="center"/>
    </xf>
    <xf numFmtId="0" fontId="6" fillId="0" borderId="106" xfId="0" applyFont="1" applyBorder="1" applyAlignment="1">
      <alignment vertical="center"/>
    </xf>
    <xf numFmtId="179" fontId="6" fillId="0" borderId="67" xfId="1" applyNumberFormat="1" applyFont="1" applyBorder="1" applyAlignment="1">
      <alignment horizontal="center" vertical="center"/>
    </xf>
    <xf numFmtId="179" fontId="6" fillId="0" borderId="71" xfId="1" applyNumberFormat="1" applyFont="1" applyBorder="1" applyAlignment="1">
      <alignment horizontal="center" vertical="center"/>
    </xf>
    <xf numFmtId="164" fontId="50" fillId="26" borderId="103" xfId="0" applyNumberFormat="1" applyFont="1" applyFill="1" applyBorder="1" applyAlignment="1">
      <alignment horizontal="center" vertical="center"/>
    </xf>
    <xf numFmtId="17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7" borderId="1" xfId="0" applyFont="1" applyFill="1" applyBorder="1" applyAlignment="1">
      <alignment vertical="center"/>
    </xf>
    <xf numFmtId="0" fontId="63" fillId="7" borderId="75" xfId="0" applyFont="1" applyFill="1" applyBorder="1" applyAlignment="1">
      <alignment vertical="center"/>
    </xf>
    <xf numFmtId="0" fontId="50" fillId="7" borderId="76" xfId="0" applyFont="1" applyFill="1" applyBorder="1" applyAlignment="1">
      <alignment vertical="center"/>
    </xf>
    <xf numFmtId="164" fontId="50" fillId="7" borderId="76" xfId="0" applyNumberFormat="1" applyFont="1" applyFill="1" applyBorder="1" applyAlignment="1">
      <alignment vertical="center"/>
    </xf>
    <xf numFmtId="164" fontId="50" fillId="7" borderId="77" xfId="0" applyNumberFormat="1" applyFont="1" applyFill="1" applyBorder="1" applyAlignment="1">
      <alignment vertical="center"/>
    </xf>
    <xf numFmtId="164" fontId="27" fillId="11" borderId="56" xfId="1" applyFont="1" applyFill="1" applyBorder="1" applyAlignment="1">
      <alignment horizontal="center" vertical="center"/>
    </xf>
    <xf numFmtId="13" fontId="6" fillId="3" borderId="51" xfId="0" applyNumberFormat="1" applyFont="1" applyFill="1" applyBorder="1" applyAlignment="1">
      <alignment horizontal="center" vertical="center"/>
    </xf>
    <xf numFmtId="164" fontId="6" fillId="0" borderId="67" xfId="1" applyFont="1" applyBorder="1" applyAlignment="1">
      <alignment horizontal="center" vertical="center"/>
    </xf>
    <xf numFmtId="43" fontId="48" fillId="3" borderId="51" xfId="1" applyNumberFormat="1" applyFont="1" applyFill="1" applyBorder="1" applyAlignment="1">
      <alignment horizontal="center" vertical="center"/>
    </xf>
    <xf numFmtId="164" fontId="63" fillId="0" borderId="137" xfId="0" applyNumberFormat="1" applyFont="1" applyBorder="1" applyAlignment="1">
      <alignment horizontal="left" vertical="center"/>
    </xf>
    <xf numFmtId="4" fontId="63" fillId="0" borderId="138" xfId="0" applyNumberFormat="1" applyFont="1" applyBorder="1" applyAlignment="1">
      <alignment horizontal="center" vertical="center"/>
    </xf>
    <xf numFmtId="164" fontId="63" fillId="0" borderId="138" xfId="0" applyNumberFormat="1" applyFont="1" applyBorder="1" applyAlignment="1">
      <alignment vertical="center"/>
    </xf>
    <xf numFmtId="171" fontId="63" fillId="0" borderId="139" xfId="0" applyNumberFormat="1" applyFont="1" applyBorder="1" applyAlignment="1">
      <alignment vertical="center"/>
    </xf>
    <xf numFmtId="10" fontId="63" fillId="0" borderId="140" xfId="0" applyNumberFormat="1" applyFont="1" applyBorder="1" applyAlignment="1">
      <alignment vertical="center"/>
    </xf>
    <xf numFmtId="164" fontId="63" fillId="25" borderId="14" xfId="0" applyNumberFormat="1" applyFont="1" applyFill="1" applyBorder="1" applyAlignment="1">
      <alignment vertical="center"/>
    </xf>
    <xf numFmtId="0" fontId="48" fillId="7" borderId="15" xfId="0" applyFont="1" applyFill="1" applyBorder="1"/>
    <xf numFmtId="172" fontId="63" fillId="7" borderId="141" xfId="0" applyNumberFormat="1" applyFont="1" applyFill="1" applyBorder="1" applyAlignment="1">
      <alignment vertical="center"/>
    </xf>
    <xf numFmtId="10" fontId="63" fillId="0" borderId="16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7" fillId="0" borderId="40" xfId="0" applyNumberFormat="1" applyFont="1" applyBorder="1" applyAlignment="1">
      <alignment horizontal="center" vertical="center"/>
    </xf>
    <xf numFmtId="4" fontId="27" fillId="0" borderId="22" xfId="0" applyNumberFormat="1" applyFont="1" applyBorder="1" applyAlignment="1">
      <alignment horizontal="center" vertical="center"/>
    </xf>
    <xf numFmtId="4" fontId="27" fillId="0" borderId="41" xfId="0" applyNumberFormat="1" applyFont="1" applyBorder="1" applyAlignment="1">
      <alignment horizontal="center" vertical="center"/>
    </xf>
    <xf numFmtId="4" fontId="27" fillId="0" borderId="42" xfId="0" applyNumberFormat="1" applyFont="1" applyBorder="1" applyAlignment="1">
      <alignment horizontal="center" vertical="center"/>
    </xf>
    <xf numFmtId="4" fontId="27" fillId="0" borderId="43" xfId="0" applyNumberFormat="1" applyFont="1" applyBorder="1" applyAlignment="1">
      <alignment horizontal="center" vertical="center"/>
    </xf>
    <xf numFmtId="4" fontId="27" fillId="0" borderId="44" xfId="0" applyNumberFormat="1" applyFont="1" applyBorder="1" applyAlignment="1">
      <alignment horizontal="center" vertical="center"/>
    </xf>
    <xf numFmtId="164" fontId="27" fillId="9" borderId="14" xfId="1" applyFont="1" applyFill="1" applyBorder="1" applyAlignment="1">
      <alignment horizontal="left" vertical="distributed"/>
    </xf>
    <xf numFmtId="164" fontId="27" fillId="9" borderId="15" xfId="1" applyFont="1" applyFill="1" applyBorder="1" applyAlignment="1">
      <alignment horizontal="left" vertical="distributed"/>
    </xf>
    <xf numFmtId="164" fontId="27" fillId="9" borderId="31" xfId="1" applyFont="1" applyFill="1" applyBorder="1" applyAlignment="1">
      <alignment horizontal="left" vertical="distributed"/>
    </xf>
    <xf numFmtId="0" fontId="6" fillId="0" borderId="0" xfId="0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27" fillId="7" borderId="20" xfId="0" applyFont="1" applyFill="1" applyBorder="1" applyAlignment="1">
      <alignment horizontal="center" vertical="distributed"/>
    </xf>
    <xf numFmtId="0" fontId="27" fillId="7" borderId="0" xfId="0" applyFont="1" applyFill="1" applyAlignment="1">
      <alignment horizontal="center" vertical="distributed"/>
    </xf>
    <xf numFmtId="0" fontId="27" fillId="7" borderId="21" xfId="0" applyFont="1" applyFill="1" applyBorder="1" applyAlignment="1">
      <alignment horizontal="center" vertical="distributed"/>
    </xf>
    <xf numFmtId="0" fontId="27" fillId="7" borderId="108" xfId="0" applyFont="1" applyFill="1" applyBorder="1" applyAlignment="1">
      <alignment horizontal="center" vertical="center"/>
    </xf>
    <xf numFmtId="0" fontId="27" fillId="7" borderId="43" xfId="0" applyFont="1" applyFill="1" applyBorder="1" applyAlignment="1">
      <alignment horizontal="center" vertical="center"/>
    </xf>
    <xf numFmtId="0" fontId="27" fillId="7" borderId="109" xfId="0" applyFont="1" applyFill="1" applyBorder="1" applyAlignment="1">
      <alignment horizontal="center" vertical="center"/>
    </xf>
    <xf numFmtId="164" fontId="27" fillId="7" borderId="14" xfId="1" applyFont="1" applyFill="1" applyBorder="1" applyAlignment="1">
      <alignment horizontal="center" vertical="center"/>
    </xf>
    <xf numFmtId="164" fontId="27" fillId="7" borderId="15" xfId="1" applyFont="1" applyFill="1" applyBorder="1" applyAlignment="1">
      <alignment horizontal="center" vertical="center"/>
    </xf>
    <xf numFmtId="164" fontId="27" fillId="7" borderId="16" xfId="1" applyFont="1" applyFill="1" applyBorder="1" applyAlignment="1">
      <alignment horizontal="center" vertical="center"/>
    </xf>
    <xf numFmtId="164" fontId="27" fillId="6" borderId="34" xfId="1" applyFont="1" applyFill="1" applyBorder="1" applyAlignment="1">
      <alignment horizontal="left" vertical="center"/>
    </xf>
    <xf numFmtId="164" fontId="27" fillId="6" borderId="47" xfId="1" applyFont="1" applyFill="1" applyBorder="1" applyAlignment="1">
      <alignment horizontal="left" vertical="center"/>
    </xf>
    <xf numFmtId="165" fontId="4" fillId="20" borderId="17" xfId="5" applyFont="1" applyFill="1" applyBorder="1" applyAlignment="1">
      <alignment horizontal="center" vertical="center"/>
    </xf>
    <xf numFmtId="165" fontId="4" fillId="20" borderId="18" xfId="5" applyFont="1" applyFill="1" applyBorder="1" applyAlignment="1">
      <alignment horizontal="center" vertical="center"/>
    </xf>
    <xf numFmtId="165" fontId="4" fillId="20" borderId="19" xfId="5" applyFont="1" applyFill="1" applyBorder="1" applyAlignment="1">
      <alignment horizontal="center" vertical="center"/>
    </xf>
    <xf numFmtId="165" fontId="4" fillId="20" borderId="20" xfId="5" applyFont="1" applyFill="1" applyBorder="1" applyAlignment="1">
      <alignment horizontal="center" vertical="center"/>
    </xf>
    <xf numFmtId="165" fontId="4" fillId="20" borderId="0" xfId="5" applyFont="1" applyFill="1" applyBorder="1" applyAlignment="1">
      <alignment horizontal="center" vertical="center"/>
    </xf>
    <xf numFmtId="165" fontId="4" fillId="20" borderId="21" xfId="5" applyFont="1" applyFill="1" applyBorder="1" applyAlignment="1">
      <alignment horizontal="center" vertical="center"/>
    </xf>
    <xf numFmtId="0" fontId="27" fillId="21" borderId="23" xfId="0" applyFont="1" applyFill="1" applyBorder="1" applyAlignment="1">
      <alignment horizontal="center" vertical="center"/>
    </xf>
    <xf numFmtId="0" fontId="27" fillId="21" borderId="1" xfId="0" applyFont="1" applyFill="1" applyBorder="1" applyAlignment="1">
      <alignment horizontal="center" vertical="center"/>
    </xf>
    <xf numFmtId="0" fontId="27" fillId="21" borderId="24" xfId="0" applyFont="1" applyFill="1" applyBorder="1" applyAlignment="1">
      <alignment horizontal="center" vertical="center"/>
    </xf>
    <xf numFmtId="0" fontId="27" fillId="20" borderId="17" xfId="0" applyFont="1" applyFill="1" applyBorder="1" applyAlignment="1">
      <alignment horizontal="center" vertical="center"/>
    </xf>
    <xf numFmtId="0" fontId="27" fillId="20" borderId="18" xfId="0" applyFont="1" applyFill="1" applyBorder="1" applyAlignment="1">
      <alignment horizontal="center" vertical="center"/>
    </xf>
    <xf numFmtId="0" fontId="27" fillId="20" borderId="19" xfId="0" applyFont="1" applyFill="1" applyBorder="1" applyAlignment="1">
      <alignment horizontal="center" vertical="center"/>
    </xf>
    <xf numFmtId="0" fontId="27" fillId="20" borderId="23" xfId="0" applyFont="1" applyFill="1" applyBorder="1" applyAlignment="1">
      <alignment horizontal="center" vertical="center"/>
    </xf>
    <xf numFmtId="0" fontId="27" fillId="20" borderId="1" xfId="0" applyFont="1" applyFill="1" applyBorder="1" applyAlignment="1">
      <alignment horizontal="center" vertical="center"/>
    </xf>
    <xf numFmtId="0" fontId="27" fillId="20" borderId="24" xfId="0" applyFont="1" applyFill="1" applyBorder="1" applyAlignment="1">
      <alignment horizontal="center" vertical="center"/>
    </xf>
    <xf numFmtId="4" fontId="17" fillId="21" borderId="114" xfId="6" applyFont="1" applyFill="1" applyBorder="1" applyAlignment="1">
      <alignment horizontal="center" vertical="center"/>
    </xf>
    <xf numFmtId="4" fontId="17" fillId="21" borderId="115" xfId="6" applyFont="1" applyFill="1" applyBorder="1" applyAlignment="1">
      <alignment horizontal="center" vertical="center"/>
    </xf>
    <xf numFmtId="4" fontId="17" fillId="21" borderId="116" xfId="6" applyFont="1" applyFill="1" applyBorder="1" applyAlignment="1">
      <alignment horizontal="center" vertical="center"/>
    </xf>
    <xf numFmtId="4" fontId="17" fillId="21" borderId="112" xfId="6" applyFont="1" applyFill="1" applyBorder="1" applyAlignment="1">
      <alignment horizontal="center" vertical="center"/>
    </xf>
    <xf numFmtId="4" fontId="17" fillId="21" borderId="117" xfId="6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4" fontId="48" fillId="0" borderId="0" xfId="0" applyNumberFormat="1" applyFont="1" applyAlignment="1">
      <alignment horizontal="left" vertical="center"/>
    </xf>
    <xf numFmtId="4" fontId="47" fillId="0" borderId="40" xfId="0" applyNumberFormat="1" applyFont="1" applyBorder="1" applyAlignment="1">
      <alignment horizontal="center" vertical="center"/>
    </xf>
    <xf numFmtId="4" fontId="47" fillId="0" borderId="22" xfId="0" applyNumberFormat="1" applyFont="1" applyBorder="1" applyAlignment="1">
      <alignment horizontal="center" vertical="center"/>
    </xf>
    <xf numFmtId="4" fontId="47" fillId="0" borderId="41" xfId="0" applyNumberFormat="1" applyFont="1" applyBorder="1" applyAlignment="1">
      <alignment horizontal="center" vertical="center"/>
    </xf>
    <xf numFmtId="4" fontId="47" fillId="0" borderId="42" xfId="0" applyNumberFormat="1" applyFont="1" applyBorder="1" applyAlignment="1">
      <alignment horizontal="center" vertical="center"/>
    </xf>
    <xf numFmtId="4" fontId="47" fillId="0" borderId="43" xfId="0" applyNumberFormat="1" applyFont="1" applyBorder="1" applyAlignment="1">
      <alignment horizontal="center" vertical="center"/>
    </xf>
    <xf numFmtId="4" fontId="47" fillId="0" borderId="44" xfId="0" applyNumberFormat="1" applyFont="1" applyBorder="1" applyAlignment="1">
      <alignment horizontal="center" vertical="center"/>
    </xf>
    <xf numFmtId="0" fontId="47" fillId="7" borderId="20" xfId="0" applyFont="1" applyFill="1" applyBorder="1" applyAlignment="1">
      <alignment horizontal="center" vertical="center"/>
    </xf>
    <xf numFmtId="0" fontId="47" fillId="7" borderId="0" xfId="0" applyFont="1" applyFill="1" applyAlignment="1">
      <alignment horizontal="center" vertical="center"/>
    </xf>
    <xf numFmtId="0" fontId="47" fillId="7" borderId="21" xfId="0" applyFont="1" applyFill="1" applyBorder="1" applyAlignment="1">
      <alignment horizontal="center" vertical="center"/>
    </xf>
    <xf numFmtId="0" fontId="47" fillId="7" borderId="108" xfId="0" applyFont="1" applyFill="1" applyBorder="1" applyAlignment="1">
      <alignment horizontal="center" vertical="center"/>
    </xf>
    <xf numFmtId="0" fontId="47" fillId="7" borderId="43" xfId="0" applyFont="1" applyFill="1" applyBorder="1" applyAlignment="1">
      <alignment horizontal="center" vertical="center"/>
    </xf>
    <xf numFmtId="0" fontId="47" fillId="7" borderId="109" xfId="0" applyFont="1" applyFill="1" applyBorder="1" applyAlignment="1">
      <alignment horizontal="center" vertical="center"/>
    </xf>
    <xf numFmtId="4" fontId="27" fillId="0" borderId="18" xfId="0" applyNumberFormat="1" applyFont="1" applyBorder="1" applyAlignment="1">
      <alignment horizontal="left" vertical="distributed"/>
    </xf>
    <xf numFmtId="4" fontId="48" fillId="0" borderId="18" xfId="0" applyNumberFormat="1" applyFont="1" applyBorder="1" applyAlignment="1">
      <alignment horizontal="left" vertical="distributed"/>
    </xf>
    <xf numFmtId="4" fontId="27" fillId="0" borderId="0" xfId="0" applyNumberFormat="1" applyFont="1" applyAlignment="1">
      <alignment horizontal="left" vertical="center" wrapText="1"/>
    </xf>
    <xf numFmtId="4" fontId="48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vertical="center"/>
    </xf>
    <xf numFmtId="4" fontId="27" fillId="0" borderId="0" xfId="0" applyNumberFormat="1" applyFont="1" applyAlignment="1">
      <alignment horizontal="left" vertical="center"/>
    </xf>
    <xf numFmtId="164" fontId="47" fillId="7" borderId="14" xfId="1" applyFont="1" applyFill="1" applyBorder="1" applyAlignment="1">
      <alignment horizontal="center" vertical="center"/>
    </xf>
    <xf numFmtId="164" fontId="47" fillId="7" borderId="15" xfId="1" applyFont="1" applyFill="1" applyBorder="1" applyAlignment="1">
      <alignment horizontal="center" vertical="center"/>
    </xf>
    <xf numFmtId="164" fontId="47" fillId="7" borderId="16" xfId="1" applyFont="1" applyFill="1" applyBorder="1" applyAlignment="1">
      <alignment horizontal="center" vertical="center"/>
    </xf>
    <xf numFmtId="164" fontId="47" fillId="8" borderId="34" xfId="1" applyFont="1" applyFill="1" applyBorder="1" applyAlignment="1">
      <alignment horizontal="left" vertical="center"/>
    </xf>
    <xf numFmtId="164" fontId="47" fillId="8" borderId="47" xfId="1" applyFont="1" applyFill="1" applyBorder="1" applyAlignment="1">
      <alignment horizontal="left" vertical="center"/>
    </xf>
    <xf numFmtId="164" fontId="47" fillId="7" borderId="5" xfId="1" applyFont="1" applyFill="1" applyBorder="1" applyAlignment="1">
      <alignment horizontal="center" vertical="center"/>
    </xf>
    <xf numFmtId="164" fontId="47" fillId="7" borderId="6" xfId="1" applyFont="1" applyFill="1" applyBorder="1" applyAlignment="1">
      <alignment horizontal="center" vertical="center"/>
    </xf>
    <xf numFmtId="164" fontId="47" fillId="7" borderId="7" xfId="1" applyFont="1" applyFill="1" applyBorder="1" applyAlignment="1">
      <alignment horizontal="center" vertical="center"/>
    </xf>
    <xf numFmtId="164" fontId="47" fillId="8" borderId="8" xfId="1" applyFont="1" applyFill="1" applyBorder="1" applyAlignment="1">
      <alignment horizontal="center" vertical="center"/>
    </xf>
    <xf numFmtId="164" fontId="47" fillId="8" borderId="9" xfId="1" applyFont="1" applyFill="1" applyBorder="1" applyAlignment="1">
      <alignment horizontal="center" vertical="center"/>
    </xf>
    <xf numFmtId="0" fontId="47" fillId="8" borderId="8" xfId="0" applyFont="1" applyFill="1" applyBorder="1" applyAlignment="1">
      <alignment horizontal="center" vertical="center"/>
    </xf>
    <xf numFmtId="0" fontId="47" fillId="8" borderId="9" xfId="0" applyFont="1" applyFill="1" applyBorder="1" applyAlignment="1">
      <alignment horizontal="center" vertical="center"/>
    </xf>
    <xf numFmtId="164" fontId="48" fillId="0" borderId="0" xfId="1" applyFont="1" applyBorder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52" fillId="0" borderId="1" xfId="0" applyFont="1" applyBorder="1" applyAlignment="1">
      <alignment horizontal="left" vertical="center"/>
    </xf>
    <xf numFmtId="0" fontId="47" fillId="0" borderId="34" xfId="0" applyFont="1" applyBorder="1" applyAlignment="1">
      <alignment horizontal="right" vertical="center"/>
    </xf>
    <xf numFmtId="0" fontId="47" fillId="0" borderId="47" xfId="0" applyFont="1" applyBorder="1" applyAlignment="1">
      <alignment horizontal="right" vertical="center"/>
    </xf>
    <xf numFmtId="0" fontId="47" fillId="0" borderId="53" xfId="0" applyFont="1" applyBorder="1" applyAlignment="1">
      <alignment horizontal="right" vertical="center"/>
    </xf>
    <xf numFmtId="0" fontId="48" fillId="0" borderId="47" xfId="0" applyFont="1" applyBorder="1" applyAlignment="1">
      <alignment horizontal="right" vertical="center"/>
    </xf>
    <xf numFmtId="0" fontId="48" fillId="0" borderId="53" xfId="0" applyFont="1" applyBorder="1" applyAlignment="1">
      <alignment horizontal="right" vertical="center"/>
    </xf>
    <xf numFmtId="164" fontId="47" fillId="11" borderId="60" xfId="1" applyFont="1" applyFill="1" applyBorder="1" applyAlignment="1">
      <alignment horizontal="left" vertical="center"/>
    </xf>
    <xf numFmtId="164" fontId="47" fillId="11" borderId="61" xfId="1" applyFont="1" applyFill="1" applyBorder="1" applyAlignment="1">
      <alignment horizontal="left" vertical="center"/>
    </xf>
    <xf numFmtId="164" fontId="47" fillId="11" borderId="55" xfId="1" applyFont="1" applyFill="1" applyBorder="1" applyAlignment="1">
      <alignment horizontal="left" vertical="center"/>
    </xf>
    <xf numFmtId="164" fontId="47" fillId="11" borderId="1" xfId="1" applyFont="1" applyFill="1" applyBorder="1" applyAlignment="1">
      <alignment horizontal="left" vertical="center"/>
    </xf>
    <xf numFmtId="164" fontId="47" fillId="11" borderId="110" xfId="1" applyFont="1" applyFill="1" applyBorder="1" applyAlignment="1">
      <alignment horizontal="left" vertical="center"/>
    </xf>
    <xf numFmtId="164" fontId="47" fillId="11" borderId="23" xfId="1" applyFont="1" applyFill="1" applyBorder="1" applyAlignment="1">
      <alignment horizontal="left" vertical="center"/>
    </xf>
    <xf numFmtId="0" fontId="48" fillId="0" borderId="18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7" fillId="7" borderId="60" xfId="0" applyFont="1" applyFill="1" applyBorder="1" applyAlignment="1">
      <alignment horizontal="left" vertical="center"/>
    </xf>
    <xf numFmtId="0" fontId="47" fillId="7" borderId="61" xfId="0" applyFont="1" applyFill="1" applyBorder="1" applyAlignment="1">
      <alignment horizontal="left" vertical="center"/>
    </xf>
    <xf numFmtId="0" fontId="47" fillId="7" borderId="55" xfId="0" applyFont="1" applyFill="1" applyBorder="1" applyAlignment="1">
      <alignment horizontal="left" vertical="center"/>
    </xf>
    <xf numFmtId="164" fontId="47" fillId="7" borderId="60" xfId="0" applyNumberFormat="1" applyFont="1" applyFill="1" applyBorder="1" applyAlignment="1">
      <alignment horizontal="left" vertical="center" wrapText="1"/>
    </xf>
    <xf numFmtId="164" fontId="47" fillId="7" borderId="61" xfId="0" applyNumberFormat="1" applyFont="1" applyFill="1" applyBorder="1" applyAlignment="1">
      <alignment horizontal="left" vertical="center" wrapText="1"/>
    </xf>
    <xf numFmtId="164" fontId="47" fillId="7" borderId="55" xfId="0" applyNumberFormat="1" applyFont="1" applyFill="1" applyBorder="1" applyAlignment="1">
      <alignment horizontal="left" vertical="center" wrapText="1"/>
    </xf>
    <xf numFmtId="164" fontId="47" fillId="7" borderId="60" xfId="0" applyNumberFormat="1" applyFont="1" applyFill="1" applyBorder="1" applyAlignment="1">
      <alignment horizontal="left" vertical="center"/>
    </xf>
    <xf numFmtId="164" fontId="47" fillId="7" borderId="61" xfId="0" applyNumberFormat="1" applyFont="1" applyFill="1" applyBorder="1" applyAlignment="1">
      <alignment horizontal="left" vertical="center"/>
    </xf>
    <xf numFmtId="164" fontId="47" fillId="7" borderId="55" xfId="0" applyNumberFormat="1" applyFont="1" applyFill="1" applyBorder="1" applyAlignment="1">
      <alignment horizontal="left" vertical="center"/>
    </xf>
    <xf numFmtId="0" fontId="47" fillId="7" borderId="14" xfId="0" applyFont="1" applyFill="1" applyBorder="1" applyAlignment="1">
      <alignment horizontal="left" vertical="center"/>
    </xf>
    <xf numFmtId="0" fontId="47" fillId="7" borderId="15" xfId="0" applyFont="1" applyFill="1" applyBorder="1" applyAlignment="1">
      <alignment horizontal="left" vertical="center"/>
    </xf>
    <xf numFmtId="0" fontId="47" fillId="7" borderId="17" xfId="0" applyFont="1" applyFill="1" applyBorder="1" applyAlignment="1">
      <alignment horizontal="center" vertical="center"/>
    </xf>
    <xf numFmtId="0" fontId="47" fillId="7" borderId="18" xfId="0" applyFont="1" applyFill="1" applyBorder="1" applyAlignment="1">
      <alignment horizontal="center" vertical="center"/>
    </xf>
    <xf numFmtId="0" fontId="47" fillId="7" borderId="19" xfId="0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left" vertical="center" wrapText="1"/>
    </xf>
    <xf numFmtId="0" fontId="47" fillId="7" borderId="23" xfId="0" applyFont="1" applyFill="1" applyBorder="1" applyAlignment="1">
      <alignment horizontal="center" vertical="center"/>
    </xf>
    <xf numFmtId="0" fontId="47" fillId="7" borderId="1" xfId="0" applyFont="1" applyFill="1" applyBorder="1" applyAlignment="1">
      <alignment horizontal="center" vertical="center"/>
    </xf>
    <xf numFmtId="0" fontId="47" fillId="7" borderId="24" xfId="0" applyFont="1" applyFill="1" applyBorder="1" applyAlignment="1">
      <alignment horizontal="center" vertical="center"/>
    </xf>
    <xf numFmtId="4" fontId="53" fillId="0" borderId="0" xfId="0" applyNumberFormat="1" applyFont="1" applyAlignment="1">
      <alignment horizontal="left" vertical="center" wrapText="1"/>
    </xf>
    <xf numFmtId="0" fontId="47" fillId="7" borderId="61" xfId="0" applyFont="1" applyFill="1" applyBorder="1" applyAlignment="1">
      <alignment horizontal="left" vertical="center" wrapText="1"/>
    </xf>
    <xf numFmtId="0" fontId="47" fillId="7" borderId="55" xfId="0" applyFont="1" applyFill="1" applyBorder="1" applyAlignment="1">
      <alignment horizontal="left" vertical="center" wrapText="1"/>
    </xf>
    <xf numFmtId="164" fontId="48" fillId="7" borderId="60" xfId="0" applyNumberFormat="1" applyFont="1" applyFill="1" applyBorder="1" applyAlignment="1">
      <alignment horizontal="left" vertical="center"/>
    </xf>
    <xf numFmtId="0" fontId="48" fillId="7" borderId="61" xfId="0" applyFont="1" applyFill="1" applyBorder="1" applyAlignment="1">
      <alignment horizontal="left" vertical="center"/>
    </xf>
    <xf numFmtId="0" fontId="48" fillId="7" borderId="55" xfId="0" applyFont="1" applyFill="1" applyBorder="1" applyAlignment="1">
      <alignment horizontal="left" vertical="center"/>
    </xf>
    <xf numFmtId="164" fontId="27" fillId="7" borderId="60" xfId="0" applyNumberFormat="1" applyFont="1" applyFill="1" applyBorder="1" applyAlignment="1">
      <alignment horizontal="left" vertical="center"/>
    </xf>
    <xf numFmtId="164" fontId="27" fillId="7" borderId="61" xfId="0" applyNumberFormat="1" applyFont="1" applyFill="1" applyBorder="1" applyAlignment="1">
      <alignment horizontal="left" vertical="center"/>
    </xf>
    <xf numFmtId="164" fontId="27" fillId="7" borderId="55" xfId="0" applyNumberFormat="1" applyFont="1" applyFill="1" applyBorder="1" applyAlignment="1">
      <alignment horizontal="left" vertical="center"/>
    </xf>
    <xf numFmtId="0" fontId="27" fillId="7" borderId="61" xfId="0" applyFont="1" applyFill="1" applyBorder="1" applyAlignment="1">
      <alignment horizontal="left" vertical="center"/>
    </xf>
    <xf numFmtId="164" fontId="27" fillId="7" borderId="23" xfId="0" applyNumberFormat="1" applyFont="1" applyFill="1" applyBorder="1" applyAlignment="1">
      <alignment horizontal="left" vertical="center" wrapText="1"/>
    </xf>
    <xf numFmtId="164" fontId="27" fillId="7" borderId="1" xfId="0" applyNumberFormat="1" applyFont="1" applyFill="1" applyBorder="1" applyAlignment="1">
      <alignment horizontal="left" vertical="center" wrapText="1"/>
    </xf>
    <xf numFmtId="164" fontId="27" fillId="7" borderId="110" xfId="0" applyNumberFormat="1" applyFont="1" applyFill="1" applyBorder="1" applyAlignment="1">
      <alignment horizontal="left" vertical="center" wrapText="1"/>
    </xf>
    <xf numFmtId="164" fontId="63" fillId="0" borderId="81" xfId="0" applyNumberFormat="1" applyFont="1" applyBorder="1" applyAlignment="1">
      <alignment horizontal="left" vertical="center"/>
    </xf>
    <xf numFmtId="0" fontId="48" fillId="0" borderId="82" xfId="0" applyFont="1" applyBorder="1"/>
    <xf numFmtId="164" fontId="63" fillId="13" borderId="75" xfId="0" applyNumberFormat="1" applyFont="1" applyFill="1" applyBorder="1" applyAlignment="1">
      <alignment horizontal="center" vertical="center"/>
    </xf>
    <xf numFmtId="0" fontId="48" fillId="0" borderId="76" xfId="0" applyFont="1" applyBorder="1"/>
    <xf numFmtId="0" fontId="48" fillId="0" borderId="77" xfId="0" applyFont="1" applyBorder="1"/>
    <xf numFmtId="164" fontId="63" fillId="0" borderId="75" xfId="0" applyNumberFormat="1" applyFont="1" applyBorder="1" applyAlignment="1">
      <alignment horizontal="center" vertical="center"/>
    </xf>
    <xf numFmtId="0" fontId="48" fillId="0" borderId="86" xfId="0" applyFont="1" applyBorder="1"/>
    <xf numFmtId="0" fontId="63" fillId="0" borderId="94" xfId="0" applyFont="1" applyBorder="1" applyAlignment="1">
      <alignment horizontal="center" vertical="center"/>
    </xf>
    <xf numFmtId="0" fontId="48" fillId="0" borderId="95" xfId="0" applyFont="1" applyBorder="1"/>
    <xf numFmtId="0" fontId="48" fillId="0" borderId="96" xfId="0" applyFont="1" applyBorder="1"/>
    <xf numFmtId="0" fontId="27" fillId="7" borderId="17" xfId="0" applyFont="1" applyFill="1" applyBorder="1" applyAlignment="1">
      <alignment horizontal="center" vertical="center"/>
    </xf>
    <xf numFmtId="0" fontId="27" fillId="7" borderId="18" xfId="0" applyFont="1" applyFill="1" applyBorder="1" applyAlignment="1">
      <alignment horizontal="center" vertical="center"/>
    </xf>
    <xf numFmtId="0" fontId="27" fillId="7" borderId="19" xfId="0" applyFont="1" applyFill="1" applyBorder="1" applyAlignment="1">
      <alignment horizontal="center" vertical="center"/>
    </xf>
    <xf numFmtId="0" fontId="27" fillId="7" borderId="23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center" vertical="center"/>
    </xf>
    <xf numFmtId="0" fontId="27" fillId="7" borderId="24" xfId="0" applyFont="1" applyFill="1" applyBorder="1" applyAlignment="1">
      <alignment horizontal="center" vertical="center"/>
    </xf>
    <xf numFmtId="4" fontId="48" fillId="0" borderId="18" xfId="0" applyNumberFormat="1" applyFont="1" applyBorder="1" applyAlignment="1">
      <alignment horizontal="left" vertical="center"/>
    </xf>
    <xf numFmtId="4" fontId="6" fillId="0" borderId="18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4" fontId="27" fillId="8" borderId="34" xfId="1" applyFont="1" applyFill="1" applyBorder="1" applyAlignment="1">
      <alignment horizontal="left" vertical="center"/>
    </xf>
    <xf numFmtId="164" fontId="27" fillId="8" borderId="47" xfId="1" applyFont="1" applyFill="1" applyBorder="1" applyAlignment="1">
      <alignment horizontal="left" vertical="center"/>
    </xf>
    <xf numFmtId="164" fontId="27" fillId="7" borderId="9" xfId="1" applyFont="1" applyFill="1" applyBorder="1" applyAlignment="1">
      <alignment horizontal="left" vertical="center"/>
    </xf>
    <xf numFmtId="0" fontId="27" fillId="7" borderId="9" xfId="0" applyFont="1" applyFill="1" applyBorder="1" applyAlignment="1">
      <alignment horizontal="left" vertical="center"/>
    </xf>
    <xf numFmtId="164" fontId="27" fillId="7" borderId="2" xfId="1" applyFont="1" applyFill="1" applyBorder="1" applyAlignment="1">
      <alignment horizontal="center" vertical="center"/>
    </xf>
    <xf numFmtId="164" fontId="27" fillId="7" borderId="3" xfId="1" applyFont="1" applyFill="1" applyBorder="1" applyAlignment="1">
      <alignment horizontal="center" vertical="center"/>
    </xf>
    <xf numFmtId="164" fontId="27" fillId="7" borderId="4" xfId="1" applyFont="1" applyFill="1" applyBorder="1" applyAlignment="1">
      <alignment horizontal="center" vertical="center"/>
    </xf>
    <xf numFmtId="164" fontId="27" fillId="8" borderId="50" xfId="1" applyFont="1" applyFill="1" applyBorder="1" applyAlignment="1">
      <alignment horizontal="center" vertical="center"/>
    </xf>
    <xf numFmtId="164" fontId="27" fillId="8" borderId="51" xfId="1" applyFont="1" applyFill="1" applyBorder="1" applyAlignment="1">
      <alignment horizontal="center" vertical="center"/>
    </xf>
    <xf numFmtId="0" fontId="27" fillId="8" borderId="8" xfId="0" applyFont="1" applyFill="1" applyBorder="1" applyAlignment="1">
      <alignment horizontal="center" vertical="center"/>
    </xf>
    <xf numFmtId="0" fontId="27" fillId="8" borderId="9" xfId="0" applyFont="1" applyFill="1" applyBorder="1" applyAlignment="1">
      <alignment horizontal="center" vertical="center"/>
    </xf>
    <xf numFmtId="164" fontId="6" fillId="0" borderId="0" xfId="1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7" fillId="0" borderId="34" xfId="0" applyFont="1" applyBorder="1" applyAlignment="1">
      <alignment horizontal="right" vertical="center"/>
    </xf>
    <xf numFmtId="0" fontId="27" fillId="0" borderId="47" xfId="0" applyFont="1" applyBorder="1" applyAlignment="1">
      <alignment horizontal="right" vertical="center"/>
    </xf>
    <xf numFmtId="0" fontId="27" fillId="0" borderId="53" xfId="0" applyFont="1" applyBorder="1" applyAlignment="1">
      <alignment horizontal="right" vertical="center"/>
    </xf>
    <xf numFmtId="164" fontId="27" fillId="7" borderId="11" xfId="0" applyNumberFormat="1" applyFont="1" applyFill="1" applyBorder="1" applyAlignment="1">
      <alignment horizontal="left" vertical="center"/>
    </xf>
    <xf numFmtId="0" fontId="27" fillId="7" borderId="12" xfId="0" applyFont="1" applyFill="1" applyBorder="1" applyAlignment="1">
      <alignment horizontal="left" vertical="center"/>
    </xf>
    <xf numFmtId="0" fontId="27" fillId="7" borderId="55" xfId="0" applyFont="1" applyFill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7" fillId="7" borderId="14" xfId="0" applyFont="1" applyFill="1" applyBorder="1" applyAlignment="1">
      <alignment horizontal="left" vertical="center"/>
    </xf>
    <xf numFmtId="0" fontId="27" fillId="7" borderId="15" xfId="0" applyFont="1" applyFill="1" applyBorder="1" applyAlignment="1">
      <alignment horizontal="left" vertical="center"/>
    </xf>
    <xf numFmtId="164" fontId="27" fillId="7" borderId="60" xfId="0" applyNumberFormat="1" applyFont="1" applyFill="1" applyBorder="1" applyAlignment="1">
      <alignment horizontal="left" vertical="center" wrapText="1"/>
    </xf>
    <xf numFmtId="0" fontId="27" fillId="7" borderId="61" xfId="0" applyFont="1" applyFill="1" applyBorder="1" applyAlignment="1">
      <alignment horizontal="left" vertical="center" wrapText="1"/>
    </xf>
    <xf numFmtId="0" fontId="27" fillId="7" borderId="55" xfId="0" applyFont="1" applyFill="1" applyBorder="1" applyAlignment="1">
      <alignment horizontal="left" vertical="center" wrapText="1"/>
    </xf>
    <xf numFmtId="164" fontId="6" fillId="7" borderId="60" xfId="0" applyNumberFormat="1" applyFont="1" applyFill="1" applyBorder="1" applyAlignment="1">
      <alignment horizontal="left" vertical="center"/>
    </xf>
    <xf numFmtId="0" fontId="6" fillId="7" borderId="6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9" fontId="14" fillId="0" borderId="6" xfId="3" applyFont="1" applyBorder="1" applyAlignment="1">
      <alignment horizontal="center" vertical="center"/>
    </xf>
    <xf numFmtId="9" fontId="14" fillId="0" borderId="7" xfId="3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0" fontId="4" fillId="6" borderId="31" xfId="0" applyNumberFormat="1" applyFont="1" applyFill="1" applyBorder="1" applyAlignment="1">
      <alignment horizontal="center" vertical="center" wrapText="1"/>
    </xf>
    <xf numFmtId="10" fontId="4" fillId="6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right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1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8">
    <cellStyle name="Hiperlink" xfId="4" builtinId="8"/>
    <cellStyle name="Moeda" xfId="2" builtinId="4"/>
    <cellStyle name="Moeda 2" xfId="5" xr:uid="{00000000-0005-0000-0000-000031000000}"/>
    <cellStyle name="Normal" xfId="0" builtinId="0"/>
    <cellStyle name="Normal 3" xfId="6" xr:uid="{00000000-0005-0000-0000-000032000000}"/>
    <cellStyle name="Porcentagem" xfId="3" builtinId="5"/>
    <cellStyle name="Separador de milhares 2" xfId="7" xr:uid="{00000000-0005-0000-0000-00003300000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univates-my.sharepoint.com\Pr&#233;dio%20Administrativo\Engenharia\Dados%20Privados\N&#237;via\001_Obra%20em%20Projeto\Pavimenta&#231;&#245;es\Asf&#225;ltica\Linha%2032\Or&#231;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BDI"/>
      <sheetName val="Memória de Cálculo"/>
      <sheetName val="Projeto"/>
      <sheetName val="CRONOGRAMA"/>
      <sheetName val="MOBILIZAÇÃO E DESMOBILIZAÇÃO"/>
      <sheetName val="COMPOSIÇÃO AUXILIAR CBUQ"/>
    </sheetNames>
    <sheetDataSet>
      <sheetData sheetId="0">
        <row r="73">
          <cell r="A73" t="str">
            <v>TOTAL GERAL DO ORÇAMENTO: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8"/>
  <sheetViews>
    <sheetView tabSelected="1" view="pageBreakPreview" topLeftCell="A4" zoomScaleNormal="100" workbookViewId="0">
      <selection activeCell="C54" sqref="C54:D54"/>
    </sheetView>
  </sheetViews>
  <sheetFormatPr defaultColWidth="9.140625" defaultRowHeight="15.75"/>
  <cols>
    <col min="1" max="1" width="52.7109375" style="120" customWidth="1"/>
    <col min="2" max="2" width="22.140625" style="120" customWidth="1"/>
    <col min="3" max="3" width="14.7109375" style="120" customWidth="1"/>
    <col min="4" max="4" width="42.7109375" style="121" customWidth="1"/>
    <col min="5" max="5" width="18.140625" style="121" customWidth="1"/>
    <col min="6" max="6" width="13.28515625" style="121" customWidth="1"/>
    <col min="7" max="7" width="28.140625" style="121" customWidth="1"/>
    <col min="8" max="8" width="20.85546875" style="122" customWidth="1"/>
    <col min="9" max="9" width="17.85546875" style="122" customWidth="1"/>
    <col min="10" max="10" width="13.42578125" style="122" customWidth="1"/>
    <col min="11" max="16384" width="9.140625" style="122"/>
  </cols>
  <sheetData>
    <row r="1" spans="1:10" hidden="1">
      <c r="A1" s="749" t="s">
        <v>0</v>
      </c>
      <c r="B1" s="749"/>
      <c r="C1" s="749"/>
      <c r="D1" s="749"/>
      <c r="E1" s="749"/>
      <c r="F1" s="749"/>
    </row>
    <row r="2" spans="1:10" ht="15.6" hidden="1" customHeight="1">
      <c r="A2" s="750" t="s">
        <v>1</v>
      </c>
      <c r="B2" s="750"/>
      <c r="C2" s="750"/>
      <c r="D2" s="750"/>
      <c r="E2" s="750"/>
      <c r="F2" s="750"/>
    </row>
    <row r="3" spans="1:10" ht="16.5" hidden="1" customHeight="1">
      <c r="A3" s="750"/>
      <c r="B3" s="750"/>
      <c r="C3" s="750"/>
      <c r="D3" s="750"/>
      <c r="E3" s="750"/>
      <c r="F3" s="750"/>
    </row>
    <row r="4" spans="1:10" ht="16.5" customHeight="1">
      <c r="A4" s="751" t="s">
        <v>2</v>
      </c>
      <c r="B4" s="752"/>
      <c r="C4" s="752"/>
      <c r="D4" s="752"/>
      <c r="E4" s="752"/>
      <c r="F4" s="753"/>
    </row>
    <row r="5" spans="1:10" ht="16.5" customHeight="1">
      <c r="A5" s="754" t="s">
        <v>3</v>
      </c>
      <c r="B5" s="755"/>
      <c r="C5" s="755"/>
      <c r="D5" s="755"/>
      <c r="E5" s="755"/>
      <c r="F5" s="756"/>
    </row>
    <row r="6" spans="1:10" ht="31.5" customHeight="1">
      <c r="A6" s="762" t="s">
        <v>4</v>
      </c>
      <c r="B6" s="763"/>
      <c r="C6" s="763"/>
      <c r="D6" s="763"/>
      <c r="E6" s="763"/>
      <c r="F6" s="764"/>
    </row>
    <row r="7" spans="1:10" ht="21.75" customHeight="1">
      <c r="A7" s="765" t="s">
        <v>5</v>
      </c>
      <c r="B7" s="766"/>
      <c r="C7" s="766"/>
      <c r="D7" s="766"/>
      <c r="E7" s="766"/>
      <c r="F7" s="767"/>
    </row>
    <row r="8" spans="1:10" ht="10.9" customHeight="1">
      <c r="A8" s="302"/>
      <c r="B8" s="125"/>
      <c r="C8" s="125"/>
      <c r="D8" s="298"/>
      <c r="E8" s="298"/>
      <c r="F8" s="303"/>
    </row>
    <row r="9" spans="1:10" ht="15.75" customHeight="1">
      <c r="A9" s="768" t="s">
        <v>6</v>
      </c>
      <c r="B9" s="769"/>
      <c r="C9" s="769"/>
      <c r="D9" s="769"/>
      <c r="E9" s="769"/>
      <c r="F9" s="770"/>
    </row>
    <row r="10" spans="1:10" ht="15.75" customHeight="1">
      <c r="A10" s="128" t="s">
        <v>7</v>
      </c>
      <c r="B10" s="129"/>
      <c r="C10" s="129"/>
      <c r="D10" s="130"/>
      <c r="E10" s="131" t="s">
        <v>8</v>
      </c>
      <c r="F10" s="132" t="s">
        <v>9</v>
      </c>
    </row>
    <row r="11" spans="1:10" s="117" customFormat="1" ht="15.75" customHeight="1">
      <c r="A11" s="337" t="str">
        <f>'1.1.Coleta Organica '!A18</f>
        <v>1. Mão-de-obra</v>
      </c>
      <c r="B11" s="338"/>
      <c r="C11" s="339"/>
      <c r="D11" s="339"/>
      <c r="E11" s="340">
        <f>SUM(E12:E18)</f>
        <v>33876.095479602554</v>
      </c>
      <c r="F11" s="341">
        <f t="shared" ref="F11:F37" si="0">E11/$E$49</f>
        <v>0.23691160287574947</v>
      </c>
      <c r="G11" s="342"/>
      <c r="H11" s="196"/>
      <c r="I11" s="197"/>
      <c r="J11" s="198"/>
    </row>
    <row r="12" spans="1:10" ht="15.75" customHeight="1">
      <c r="A12" s="139" t="str">
        <f>'1.1.Coleta Organica '!A19</f>
        <v>1.1. Coletor Turno Dia</v>
      </c>
      <c r="B12" s="140"/>
      <c r="C12" s="141"/>
      <c r="D12" s="141"/>
      <c r="E12" s="142">
        <f>'1.1.Coleta Organica '!E19+'1.2. Coleta Seletiva'!E19</f>
        <v>8999.2530565558009</v>
      </c>
      <c r="F12" s="343">
        <f t="shared" si="0"/>
        <v>6.2936044905082325E-2</v>
      </c>
      <c r="G12" s="118"/>
      <c r="I12" s="304"/>
    </row>
    <row r="13" spans="1:10" ht="15.75" customHeight="1">
      <c r="A13" s="139" t="str">
        <f>'1.1.Coleta Organica '!A20</f>
        <v>1.2. Motorista Turno do Dia</v>
      </c>
      <c r="B13" s="140"/>
      <c r="C13" s="141"/>
      <c r="D13" s="141"/>
      <c r="E13" s="142">
        <f>'1.1.Coleta Organica '!E20+'1.2. Coleta Seletiva'!E20+'1.5.Destino final'!E20</f>
        <v>6631.6860244057671</v>
      </c>
      <c r="F13" s="343">
        <f t="shared" si="0"/>
        <v>4.6378525729350376E-2</v>
      </c>
      <c r="G13" s="344"/>
    </row>
    <row r="14" spans="1:10" ht="15.75" customHeight="1">
      <c r="A14" s="139" t="str">
        <f>'1.4 Central de Triagem'!A12</f>
        <v>1.3. Reciclador Turno do Dia</v>
      </c>
      <c r="B14" s="140"/>
      <c r="C14" s="141"/>
      <c r="D14" s="141"/>
      <c r="E14" s="142">
        <f>'1.4 Central de Triagem'!E12</f>
        <v>8924.5225137376001</v>
      </c>
      <c r="F14" s="343">
        <f t="shared" si="0"/>
        <v>6.2413418774999084E-2</v>
      </c>
      <c r="G14" s="118"/>
    </row>
    <row r="15" spans="1:10" ht="15.75" customHeight="1">
      <c r="A15" s="139" t="str">
        <f>'1.4 Central de Triagem'!A13</f>
        <v>1.4. Operador Turno do Dia</v>
      </c>
      <c r="B15" s="140"/>
      <c r="C15" s="141"/>
      <c r="D15" s="141"/>
      <c r="E15" s="142">
        <f>'1.4 Central de Triagem'!E13</f>
        <v>4988.9080202879995</v>
      </c>
      <c r="F15" s="343">
        <f t="shared" si="0"/>
        <v>3.4889799988837997E-2</v>
      </c>
      <c r="G15" s="118"/>
    </row>
    <row r="16" spans="1:10" ht="15.75" customHeight="1">
      <c r="A16" s="139" t="str">
        <f>'1.1.Coleta Organica '!A21</f>
        <v>1.5. Vale Transporte</v>
      </c>
      <c r="B16" s="140"/>
      <c r="C16" s="141"/>
      <c r="D16" s="141"/>
      <c r="E16" s="142">
        <f>'1.1.Coleta Organica '!E21+'1.2. Coleta Seletiva'!E21+'1.4 Central de Triagem'!E14+'1.5.Destino final'!E21</f>
        <v>543.88498461538472</v>
      </c>
      <c r="F16" s="343">
        <f t="shared" si="0"/>
        <v>3.8036456581269171E-3</v>
      </c>
      <c r="G16" s="118"/>
    </row>
    <row r="17" spans="1:10" ht="15.75" customHeight="1">
      <c r="A17" s="139" t="str">
        <f>'1.1.Coleta Organica '!A22</f>
        <v>1.6. Vale-refeição (diário)</v>
      </c>
      <c r="B17" s="140"/>
      <c r="C17" s="141"/>
      <c r="D17" s="141"/>
      <c r="E17" s="142">
        <f>'1.1.Coleta Organica '!E22+'1.2. Coleta Seletiva'!E22+'1.4 Central de Triagem'!E15+'1.5.Destino final'!E22</f>
        <v>893</v>
      </c>
      <c r="F17" s="343">
        <f t="shared" si="0"/>
        <v>6.2451725434364133E-3</v>
      </c>
      <c r="G17" s="118"/>
    </row>
    <row r="18" spans="1:10" ht="15.75" customHeight="1">
      <c r="A18" s="139" t="str">
        <f>'1.1.Coleta Organica '!A23</f>
        <v>1.7. Auxílio Alimentação (mensal)</v>
      </c>
      <c r="B18" s="140"/>
      <c r="C18" s="141"/>
      <c r="D18" s="141"/>
      <c r="E18" s="142">
        <f>'1.1.Coleta Organica '!E23+'1.2. Coleta Seletiva'!E23+'1.4 Central de Triagem'!E16+'1.5.Destino final'!E23</f>
        <v>2894.8408799999997</v>
      </c>
      <c r="F18" s="343">
        <f t="shared" si="0"/>
        <v>2.0244995275916354E-2</v>
      </c>
      <c r="G18" s="118"/>
    </row>
    <row r="19" spans="1:10" s="117" customFormat="1" ht="15.75" customHeight="1">
      <c r="A19" s="771" t="str">
        <f>'1.1.Coleta Organica '!A24:C24</f>
        <v>2. Uniformes e Equipamentos de Proteção Individual</v>
      </c>
      <c r="B19" s="772"/>
      <c r="C19" s="772"/>
      <c r="D19" s="339"/>
      <c r="E19" s="340">
        <f>'1.1.Coleta Organica '!E24+'1.2. Coleta Seletiva'!E24+'1.4 Central de Triagem'!E17+'1.5.Destino final'!E24</f>
        <v>1368.2649732333334</v>
      </c>
      <c r="F19" s="341">
        <f t="shared" si="0"/>
        <v>9.5689259159939238E-3</v>
      </c>
      <c r="G19" s="342"/>
      <c r="H19" s="196"/>
      <c r="I19" s="197"/>
      <c r="J19" s="198"/>
    </row>
    <row r="20" spans="1:10" s="117" customFormat="1" ht="15.75" customHeight="1">
      <c r="A20" s="771" t="str">
        <f>'1.1.Coleta Organica '!A25:C25</f>
        <v>3. Veículos e Equipamentos</v>
      </c>
      <c r="B20" s="772"/>
      <c r="C20" s="772"/>
      <c r="D20" s="339"/>
      <c r="E20" s="340">
        <f>E21+E28+E31+E38</f>
        <v>63428.096168184173</v>
      </c>
      <c r="F20" s="341">
        <f t="shared" si="0"/>
        <v>0.4435827599910282</v>
      </c>
      <c r="G20" s="342"/>
      <c r="H20" s="196"/>
      <c r="I20" s="197"/>
      <c r="J20" s="198"/>
    </row>
    <row r="21" spans="1:10" ht="15.75" customHeight="1">
      <c r="A21" s="144" t="str">
        <f>'1.1.Coleta Organica '!A26</f>
        <v>3.1. Veículo Coletor Compactador 15 m³(mínimo)</v>
      </c>
      <c r="B21" s="145"/>
      <c r="C21" s="135"/>
      <c r="D21" s="135"/>
      <c r="E21" s="136">
        <f>SUM(E22:E27)</f>
        <v>37917.418295473908</v>
      </c>
      <c r="F21" s="137">
        <f t="shared" si="0"/>
        <v>0.2651744900972981</v>
      </c>
      <c r="G21" s="342"/>
      <c r="H21" s="220"/>
      <c r="I21" s="197"/>
      <c r="J21" s="198"/>
    </row>
    <row r="22" spans="1:10" ht="15.75" customHeight="1">
      <c r="A22" s="146" t="str">
        <f>'1.1.Coleta Organica '!A27</f>
        <v>3.1.1. Depreciação</v>
      </c>
      <c r="B22" s="147"/>
      <c r="C22" s="141"/>
      <c r="D22" s="141"/>
      <c r="E22" s="142">
        <f>'1.1.Coleta Organica '!E27+'1.2. Coleta Seletiva'!E27</f>
        <v>3410.1904416666675</v>
      </c>
      <c r="F22" s="343">
        <f t="shared" si="0"/>
        <v>2.384907918721833E-2</v>
      </c>
      <c r="G22" s="699"/>
      <c r="H22" s="220"/>
      <c r="I22" s="197"/>
      <c r="J22" s="198"/>
    </row>
    <row r="23" spans="1:10" ht="15.75" customHeight="1">
      <c r="A23" s="146" t="str">
        <f>'1.1.Coleta Organica '!A28</f>
        <v>3.1.2. Remuneração do Capital</v>
      </c>
      <c r="B23" s="147"/>
      <c r="C23" s="141"/>
      <c r="D23" s="141"/>
      <c r="E23" s="142">
        <f>'1.1.Coleta Organica '!E28+'1.2. Coleta Seletiva'!E28</f>
        <v>5176.3216884166668</v>
      </c>
      <c r="F23" s="343">
        <f t="shared" si="0"/>
        <v>3.6200472659008047E-2</v>
      </c>
      <c r="G23" s="118"/>
    </row>
    <row r="24" spans="1:10" ht="15.75" customHeight="1">
      <c r="A24" s="146" t="str">
        <f>'1.1.Coleta Organica '!A29</f>
        <v>3.1.3. Impostos e Seguros</v>
      </c>
      <c r="B24" s="147"/>
      <c r="C24" s="141"/>
      <c r="D24" s="141"/>
      <c r="E24" s="142">
        <f>'1.1.Coleta Organica '!E29+'1.2. Coleta Seletiva'!E29</f>
        <v>1554.6232942499998</v>
      </c>
      <c r="F24" s="343">
        <f t="shared" si="0"/>
        <v>1.0872218043266256E-2</v>
      </c>
      <c r="G24" s="118"/>
    </row>
    <row r="25" spans="1:10" ht="15.75" customHeight="1">
      <c r="A25" s="146" t="str">
        <f>'1.1.Coleta Organica '!A30</f>
        <v>3.1.4. Consumos</v>
      </c>
      <c r="B25" s="147"/>
      <c r="C25" s="141"/>
      <c r="D25" s="141"/>
      <c r="E25" s="142">
        <f>'1.1.Coleta Organica '!E30+'1.2. Coleta Seletiva'!E30</f>
        <v>21005.463</v>
      </c>
      <c r="F25" s="343">
        <f t="shared" si="0"/>
        <v>0.14690116549806212</v>
      </c>
      <c r="G25" s="118"/>
    </row>
    <row r="26" spans="1:10" ht="15.75" customHeight="1">
      <c r="A26" s="146" t="str">
        <f>'1.1.Coleta Organica '!A31</f>
        <v>3.1.5. Manutenção</v>
      </c>
      <c r="B26" s="147"/>
      <c r="C26" s="141"/>
      <c r="D26" s="141"/>
      <c r="E26" s="142">
        <f>'1.1.Coleta Organica '!E31+'1.2. Coleta Seletiva'!E31</f>
        <v>4874.9879999999994</v>
      </c>
      <c r="F26" s="343">
        <f t="shared" si="0"/>
        <v>3.409310325552295E-2</v>
      </c>
      <c r="G26" s="118"/>
    </row>
    <row r="27" spans="1:10" ht="15.75" customHeight="1">
      <c r="A27" s="146" t="str">
        <f>'1.1.Coleta Organica '!A32</f>
        <v>3.1.6. Pneus</v>
      </c>
      <c r="B27" s="147"/>
      <c r="C27" s="141"/>
      <c r="D27" s="141"/>
      <c r="E27" s="142">
        <f>'1.1.Coleta Organica '!E32+'1.2. Coleta Seletiva'!E32</f>
        <v>1895.8318711405714</v>
      </c>
      <c r="F27" s="343">
        <f t="shared" si="0"/>
        <v>1.3258451454220355E-2</v>
      </c>
      <c r="G27" s="118"/>
    </row>
    <row r="28" spans="1:10" ht="15.75" customHeight="1">
      <c r="A28" s="144" t="str">
        <f>'1.3.Estação de transbordo'!A13</f>
        <v>3.2. Estacão de transbordo</v>
      </c>
      <c r="B28" s="145"/>
      <c r="C28" s="135"/>
      <c r="D28" s="135"/>
      <c r="E28" s="136">
        <f>SUM(E29:E30)</f>
        <v>957.34683333333351</v>
      </c>
      <c r="F28" s="341">
        <f t="shared" si="0"/>
        <v>6.6951804681737188E-3</v>
      </c>
      <c r="G28" s="346"/>
      <c r="H28" s="196"/>
      <c r="I28" s="197"/>
      <c r="J28" s="198"/>
    </row>
    <row r="29" spans="1:10" ht="15.75" customHeight="1">
      <c r="A29" s="146" t="str">
        <f>'1.3.Estação de transbordo'!A14</f>
        <v>3.2.1. Depreciação</v>
      </c>
      <c r="B29" s="147"/>
      <c r="C29" s="141"/>
      <c r="D29" s="141"/>
      <c r="E29" s="142">
        <f>'1.3.Estação de transbordo'!E14</f>
        <v>380.21666666666675</v>
      </c>
      <c r="F29" s="343">
        <f t="shared" si="0"/>
        <v>2.65903548401297E-3</v>
      </c>
      <c r="G29" s="118"/>
    </row>
    <row r="30" spans="1:10" ht="15.75" customHeight="1">
      <c r="A30" s="146" t="str">
        <f>'1.3.Estação de transbordo'!A15</f>
        <v>3.2.2. Remuneração do Capital</v>
      </c>
      <c r="B30" s="147"/>
      <c r="C30" s="141"/>
      <c r="D30" s="141"/>
      <c r="E30" s="142">
        <f>'1.3.Estação de transbordo'!E15</f>
        <v>577.1301666666667</v>
      </c>
      <c r="F30" s="343">
        <f t="shared" si="0"/>
        <v>4.0361449841607479E-3</v>
      </c>
      <c r="G30" s="118"/>
    </row>
    <row r="31" spans="1:10">
      <c r="A31" s="144" t="str">
        <f>'1.4 Central de Triagem'!A19</f>
        <v>3.3. Retroescavadeira</v>
      </c>
      <c r="B31" s="145"/>
      <c r="C31" s="135"/>
      <c r="D31" s="135"/>
      <c r="E31" s="136">
        <f>SUM(E32:E37)</f>
        <v>8726.1649999999991</v>
      </c>
      <c r="F31" s="341">
        <f t="shared" si="0"/>
        <v>6.1026210601899E-2</v>
      </c>
    </row>
    <row r="32" spans="1:10">
      <c r="A32" s="146" t="str">
        <f>'1.4 Central de Triagem'!A20</f>
        <v>3.3.1. Depreciação</v>
      </c>
      <c r="B32" s="147"/>
      <c r="C32" s="141"/>
      <c r="D32" s="141"/>
      <c r="E32" s="142">
        <f>'1.4 Central de Triagem'!E20</f>
        <v>2064.0333333333338</v>
      </c>
      <c r="F32" s="343">
        <f t="shared" si="0"/>
        <v>1.4434764056070408E-2</v>
      </c>
    </row>
    <row r="33" spans="1:10">
      <c r="A33" s="146" t="str">
        <f>'1.4 Central de Triagem'!A21</f>
        <v>3.3.2. Remuneração do Capital</v>
      </c>
      <c r="B33" s="147"/>
      <c r="C33" s="141"/>
      <c r="D33" s="141"/>
      <c r="E33" s="142">
        <f>'1.4 Central de Triagem'!E21</f>
        <v>4433.333333333333</v>
      </c>
      <c r="F33" s="343">
        <f t="shared" si="0"/>
        <v>3.1004402697911271E-2</v>
      </c>
    </row>
    <row r="34" spans="1:10">
      <c r="A34" s="146" t="str">
        <f>'1.4 Central de Triagem'!A22</f>
        <v>3.3.3. Impostos e Seguros</v>
      </c>
      <c r="B34" s="147"/>
      <c r="C34" s="141"/>
      <c r="D34" s="141"/>
      <c r="E34" s="142">
        <f>'1.4 Central de Triagem'!E22</f>
        <v>333.33333333333331</v>
      </c>
      <c r="F34" s="343">
        <f t="shared" si="0"/>
        <v>2.3311580975873135E-3</v>
      </c>
    </row>
    <row r="35" spans="1:10">
      <c r="A35" s="146" t="str">
        <f>'1.4 Central de Triagem'!A23</f>
        <v>3.3.4. Consumos</v>
      </c>
      <c r="B35" s="147"/>
      <c r="C35" s="141"/>
      <c r="D35" s="141"/>
      <c r="E35" s="142">
        <f>'1.4 Central de Triagem'!E23</f>
        <v>1299.8150000000001</v>
      </c>
      <c r="F35" s="343">
        <f t="shared" si="0"/>
        <v>9.090222787846363E-3</v>
      </c>
    </row>
    <row r="36" spans="1:10">
      <c r="A36" s="146" t="str">
        <f>'1.4 Central de Triagem'!A24</f>
        <v>3.3.5. Manutenção</v>
      </c>
      <c r="B36" s="147"/>
      <c r="C36" s="141"/>
      <c r="D36" s="141"/>
      <c r="E36" s="142">
        <f>'1.4 Central de Triagem'!E24</f>
        <v>268.39999999999998</v>
      </c>
      <c r="F36" s="343">
        <f t="shared" si="0"/>
        <v>1.8770485001773048E-3</v>
      </c>
    </row>
    <row r="37" spans="1:10">
      <c r="A37" s="146" t="str">
        <f>'1.4 Central de Triagem'!A25</f>
        <v>3.3.6. Pneus</v>
      </c>
      <c r="B37" s="147"/>
      <c r="C37" s="141"/>
      <c r="D37" s="141"/>
      <c r="E37" s="142">
        <f>'1.4 Central de Triagem'!E25</f>
        <v>327.25</v>
      </c>
      <c r="F37" s="343">
        <f t="shared" si="0"/>
        <v>2.2886144623063451E-3</v>
      </c>
    </row>
    <row r="38" spans="1:10" ht="15.75" customHeight="1">
      <c r="A38" s="144" t="str">
        <f>'1.5.Destino final'!A26</f>
        <v xml:space="preserve">3.4. Conjunto com Romeu e Julieta tipo "roll -on" e containers para destino final </v>
      </c>
      <c r="B38" s="145"/>
      <c r="C38" s="135"/>
      <c r="D38" s="135"/>
      <c r="E38" s="136">
        <f>SUM(E39:E44)</f>
        <v>15827.166039376923</v>
      </c>
      <c r="F38" s="341">
        <f t="shared" ref="F38:F49" si="1">E38/$E$49</f>
        <v>0.11068687882365735</v>
      </c>
      <c r="G38" s="342"/>
      <c r="H38" s="196"/>
      <c r="I38" s="197"/>
      <c r="J38" s="198"/>
    </row>
    <row r="39" spans="1:10" ht="15.75" customHeight="1">
      <c r="A39" s="146" t="str">
        <f>'1.5.Destino final'!A27</f>
        <v>3.4.1. Depreciação</v>
      </c>
      <c r="B39" s="147"/>
      <c r="C39" s="141"/>
      <c r="D39" s="141"/>
      <c r="E39" s="142">
        <f>'1.5.Destino final'!E27</f>
        <v>1582.2173416666672</v>
      </c>
      <c r="F39" s="343">
        <f t="shared" si="1"/>
        <v>1.1065196304507974E-2</v>
      </c>
      <c r="G39" s="118"/>
    </row>
    <row r="40" spans="1:10" ht="15.75" customHeight="1">
      <c r="A40" s="146" t="str">
        <f>'1.5.Destino final'!A28</f>
        <v>3.4.2. Remuneração do Capital</v>
      </c>
      <c r="B40" s="147"/>
      <c r="C40" s="141"/>
      <c r="D40" s="141"/>
      <c r="E40" s="142">
        <f>'1.5.Destino final'!E28</f>
        <v>2401.6447414166673</v>
      </c>
      <c r="F40" s="343">
        <f t="shared" si="1"/>
        <v>1.6795840759444364E-2</v>
      </c>
      <c r="G40" s="347"/>
      <c r="H40" s="220"/>
      <c r="I40" s="197"/>
      <c r="J40" s="198"/>
    </row>
    <row r="41" spans="1:10" ht="15.75" customHeight="1">
      <c r="A41" s="146" t="str">
        <f>'1.5.Destino final'!A29</f>
        <v>3.4.3. Impostos e Seguros</v>
      </c>
      <c r="B41" s="147"/>
      <c r="C41" s="141"/>
      <c r="D41" s="141"/>
      <c r="E41" s="142">
        <f>'1.5.Destino final'!E29</f>
        <v>772.86241641666663</v>
      </c>
      <c r="F41" s="343">
        <f t="shared" si="1"/>
        <v>5.4049934410518325E-3</v>
      </c>
      <c r="G41" s="347"/>
      <c r="H41" s="220"/>
      <c r="I41" s="197"/>
      <c r="J41" s="198"/>
    </row>
    <row r="42" spans="1:10" ht="15.75" customHeight="1">
      <c r="A42" s="146" t="str">
        <f>'1.5.Destino final'!A30</f>
        <v>3.4.4. Consumos</v>
      </c>
      <c r="B42" s="147"/>
      <c r="C42" s="141"/>
      <c r="D42" s="141"/>
      <c r="E42" s="142">
        <f>'1.5.Destino final'!E30</f>
        <v>8163.3462499999996</v>
      </c>
      <c r="F42" s="343">
        <f t="shared" si="1"/>
        <v>5.7090152142289595E-2</v>
      </c>
      <c r="G42" s="347"/>
      <c r="H42" s="220"/>
      <c r="I42" s="197"/>
      <c r="J42" s="198"/>
    </row>
    <row r="43" spans="1:10" ht="15.75" customHeight="1">
      <c r="A43" s="146" t="str">
        <f>'1.5.Destino final'!A31</f>
        <v>3.4.5. Manutenção</v>
      </c>
      <c r="B43" s="147"/>
      <c r="C43" s="141"/>
      <c r="D43" s="141"/>
      <c r="E43" s="142">
        <f>'1.5.Destino final'!E31</f>
        <v>2340.3450000000003</v>
      </c>
      <c r="F43" s="343">
        <f t="shared" si="1"/>
        <v>1.6367142593693946E-2</v>
      </c>
      <c r="G43" s="347"/>
      <c r="H43" s="220"/>
      <c r="I43" s="197"/>
      <c r="J43" s="198"/>
    </row>
    <row r="44" spans="1:10" ht="15.75" customHeight="1">
      <c r="A44" s="146" t="str">
        <f>'1.5.Destino final'!A32</f>
        <v>3.4.6. Pneus</v>
      </c>
      <c r="B44" s="147"/>
      <c r="C44" s="141"/>
      <c r="D44" s="141"/>
      <c r="E44" s="142">
        <f>'1.5.Destino final'!E32</f>
        <v>566.75028987692303</v>
      </c>
      <c r="F44" s="343">
        <f t="shared" si="1"/>
        <v>3.9635535826696398E-3</v>
      </c>
      <c r="G44" s="347"/>
      <c r="H44" s="348"/>
      <c r="I44" s="197"/>
      <c r="J44" s="198"/>
    </row>
    <row r="45" spans="1:10" ht="15.75" customHeight="1">
      <c r="A45" s="345" t="str">
        <f>'1.1.Coleta Organica '!A33</f>
        <v>4. Ferramentas e Materiais de Consumo</v>
      </c>
      <c r="B45" s="349"/>
      <c r="C45" s="339"/>
      <c r="D45" s="339"/>
      <c r="E45" s="340">
        <f>'1.1.Coleta Organica '!E33+'1.2. Coleta Seletiva'!E33+'1.4 Central de Triagem'!F201+'1.5.Destino final'!E33</f>
        <v>78.878169131529347</v>
      </c>
      <c r="F45" s="341">
        <f t="shared" si="1"/>
        <v>5.5163244808147896E-4</v>
      </c>
      <c r="G45" s="347"/>
      <c r="H45" s="196"/>
      <c r="I45" s="197"/>
      <c r="J45" s="198"/>
    </row>
    <row r="46" spans="1:10" ht="15.75" customHeight="1">
      <c r="A46" s="345" t="str">
        <f>'1.1.Coleta Organica '!A34</f>
        <v>5. Monitoramento da Frota</v>
      </c>
      <c r="B46" s="349"/>
      <c r="C46" s="339"/>
      <c r="D46" s="339"/>
      <c r="E46" s="340">
        <f>'1.1.Coleta Organica '!E34+'1.2. Coleta Seletiva'!E34+'1.4 Central de Triagem'!F212+'1.5.Destino final'!E34</f>
        <v>242.26404847726249</v>
      </c>
      <c r="F46" s="341">
        <f t="shared" si="1"/>
        <v>1.6942673950861679E-3</v>
      </c>
      <c r="G46" s="347"/>
      <c r="H46" s="196"/>
      <c r="I46" s="197"/>
      <c r="J46" s="198"/>
    </row>
    <row r="47" spans="1:10" ht="15.75" customHeight="1">
      <c r="A47" s="350" t="str">
        <f>'1.5.Destino final'!A203</f>
        <v>6. Deposição no Aterro</v>
      </c>
      <c r="B47" s="351"/>
      <c r="C47" s="352"/>
      <c r="D47" s="352"/>
      <c r="E47" s="353">
        <f>'1.5.Destino final'!E35</f>
        <v>17902.133333333335</v>
      </c>
      <c r="F47" s="341">
        <f t="shared" si="1"/>
        <v>0.12519810925226332</v>
      </c>
      <c r="G47" s="347"/>
      <c r="H47" s="196"/>
      <c r="I47" s="197"/>
      <c r="J47" s="198"/>
    </row>
    <row r="48" spans="1:10" ht="15.75" customHeight="1">
      <c r="A48" s="350" t="str">
        <f>'1.5.Destino final'!A211</f>
        <v>7. Benefícios e Despesas Indiretas - BDI</v>
      </c>
      <c r="B48" s="351"/>
      <c r="C48" s="352"/>
      <c r="D48" s="352"/>
      <c r="E48" s="353">
        <f>'1.1.Coleta Organica '!E35+'1.2. Coleta Seletiva'!E35+'1.3.Estação de transbordo'!E16+'1.4 Central de Triagem'!F222+'1.5.Destino final'!E36</f>
        <v>26094.71265386256</v>
      </c>
      <c r="F48" s="341">
        <f t="shared" si="1"/>
        <v>0.18249270212179755</v>
      </c>
      <c r="G48" s="347"/>
      <c r="H48" s="196"/>
      <c r="I48" s="197"/>
      <c r="J48" s="198"/>
    </row>
    <row r="49" spans="1:10" ht="30.95" customHeight="1">
      <c r="A49" s="757" t="s">
        <v>10</v>
      </c>
      <c r="B49" s="758"/>
      <c r="C49" s="758"/>
      <c r="D49" s="759"/>
      <c r="E49" s="354">
        <f>E11+E19+E20+E45+E46+E47+E48</f>
        <v>142990.44482582473</v>
      </c>
      <c r="F49" s="355">
        <f t="shared" si="1"/>
        <v>1</v>
      </c>
      <c r="G49" s="347"/>
      <c r="H49" s="348"/>
      <c r="I49" s="197"/>
      <c r="J49" s="198"/>
    </row>
    <row r="50" spans="1:10">
      <c r="D50" s="356"/>
    </row>
    <row r="51" spans="1:10">
      <c r="B51" s="120" t="s">
        <v>462</v>
      </c>
    </row>
    <row r="52" spans="1:10">
      <c r="C52" s="760"/>
      <c r="D52" s="760"/>
    </row>
    <row r="53" spans="1:10">
      <c r="A53" s="294" t="s">
        <v>401</v>
      </c>
      <c r="C53" s="761" t="s">
        <v>402</v>
      </c>
      <c r="D53" s="760"/>
    </row>
    <row r="54" spans="1:10">
      <c r="A54" s="30" t="s">
        <v>464</v>
      </c>
      <c r="C54" s="760" t="s">
        <v>465</v>
      </c>
      <c r="D54" s="760"/>
    </row>
    <row r="55" spans="1:10" s="118" customFormat="1" ht="12.6" customHeight="1">
      <c r="A55" s="184"/>
      <c r="B55" s="184"/>
      <c r="C55" s="184"/>
      <c r="D55" s="183"/>
      <c r="E55" s="183"/>
      <c r="F55" s="183"/>
      <c r="G55" s="121"/>
      <c r="H55" s="122"/>
      <c r="I55" s="122"/>
      <c r="J55" s="122"/>
    </row>
    <row r="56" spans="1:10" s="118" customFormat="1" ht="9.75" customHeight="1">
      <c r="A56" s="138"/>
      <c r="B56" s="121"/>
      <c r="C56" s="121"/>
      <c r="D56" s="121"/>
      <c r="E56" s="121"/>
      <c r="F56" s="121"/>
      <c r="G56" s="121"/>
      <c r="H56" s="122"/>
      <c r="I56" s="122"/>
      <c r="J56" s="122"/>
    </row>
    <row r="57" spans="1:10" s="118" customFormat="1" ht="9.75" customHeight="1">
      <c r="A57" s="138"/>
      <c r="B57" s="121"/>
      <c r="C57" s="121"/>
      <c r="D57" s="121"/>
      <c r="E57" s="121"/>
      <c r="F57" s="121"/>
      <c r="G57" s="121"/>
      <c r="H57" s="122"/>
      <c r="I57" s="122"/>
      <c r="J57" s="122"/>
    </row>
    <row r="58" spans="1:10" s="118" customFormat="1" ht="9.75" customHeight="1">
      <c r="A58" s="138"/>
      <c r="B58" s="121"/>
      <c r="C58" s="121"/>
      <c r="D58" s="121"/>
      <c r="E58" s="121"/>
      <c r="F58" s="121"/>
      <c r="G58" s="121"/>
      <c r="H58" s="122"/>
      <c r="I58" s="122"/>
      <c r="J58" s="122"/>
    </row>
    <row r="88" spans="4:7" ht="9" customHeight="1">
      <c r="D88" s="120"/>
      <c r="E88" s="120"/>
      <c r="F88" s="120"/>
      <c r="G88" s="120"/>
    </row>
  </sheetData>
  <mergeCells count="14">
    <mergeCell ref="A49:D49"/>
    <mergeCell ref="C52:D52"/>
    <mergeCell ref="C53:D53"/>
    <mergeCell ref="C54:D54"/>
    <mergeCell ref="A6:F6"/>
    <mergeCell ref="A7:F7"/>
    <mergeCell ref="A9:F9"/>
    <mergeCell ref="A19:C19"/>
    <mergeCell ref="A20:C20"/>
    <mergeCell ref="A1:F1"/>
    <mergeCell ref="A2:F2"/>
    <mergeCell ref="A3:F3"/>
    <mergeCell ref="A4:F4"/>
    <mergeCell ref="A5:F5"/>
  </mergeCells>
  <pageMargins left="0.90551181102362199" right="0.511811023622047" top="1.5354330708661399" bottom="0.74803149606299202" header="0.31496062992126" footer="0.31496062992126"/>
  <pageSetup paperSize="9" scale="54" fitToHeight="0" orientation="portrait" r:id="rId1"/>
  <headerFooter alignWithMargins="0"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5"/>
  <sheetViews>
    <sheetView view="pageBreakPreview" topLeftCell="C1" zoomScaleNormal="100" workbookViewId="0">
      <selection activeCell="K26" sqref="K26"/>
    </sheetView>
  </sheetViews>
  <sheetFormatPr defaultColWidth="9" defaultRowHeight="12.75"/>
  <cols>
    <col min="1" max="1" width="10.7109375" style="314" customWidth="1"/>
    <col min="2" max="2" width="63" style="315" customWidth="1"/>
    <col min="3" max="3" width="17.42578125" style="316" bestFit="1" customWidth="1"/>
    <col min="4" max="4" width="8.28515625" style="315" customWidth="1"/>
    <col min="5" max="16" width="13.7109375" style="315" bestFit="1" customWidth="1"/>
    <col min="17" max="255" width="9.140625" style="315"/>
    <col min="256" max="256" width="10.7109375" style="315" customWidth="1"/>
    <col min="257" max="257" width="63" style="315" customWidth="1"/>
    <col min="258" max="258" width="12.140625" style="315" customWidth="1"/>
    <col min="259" max="259" width="20" style="315" customWidth="1"/>
    <col min="260" max="260" width="10.85546875" style="315" customWidth="1"/>
    <col min="261" max="261" width="15.28515625" style="315" customWidth="1"/>
    <col min="262" max="264" width="13.85546875" style="315" customWidth="1"/>
    <col min="265" max="265" width="10.28515625" style="315" customWidth="1"/>
    <col min="266" max="511" width="9.140625" style="315"/>
    <col min="512" max="512" width="10.7109375" style="315" customWidth="1"/>
    <col min="513" max="513" width="63" style="315" customWidth="1"/>
    <col min="514" max="514" width="12.140625" style="315" customWidth="1"/>
    <col min="515" max="515" width="20" style="315" customWidth="1"/>
    <col min="516" max="516" width="10.85546875" style="315" customWidth="1"/>
    <col min="517" max="517" width="15.28515625" style="315" customWidth="1"/>
    <col min="518" max="520" width="13.85546875" style="315" customWidth="1"/>
    <col min="521" max="521" width="10.28515625" style="315" customWidth="1"/>
    <col min="522" max="767" width="9.140625" style="315"/>
    <col min="768" max="768" width="10.7109375" style="315" customWidth="1"/>
    <col min="769" max="769" width="63" style="315" customWidth="1"/>
    <col min="770" max="770" width="12.140625" style="315" customWidth="1"/>
    <col min="771" max="771" width="20" style="315" customWidth="1"/>
    <col min="772" max="772" width="10.85546875" style="315" customWidth="1"/>
    <col min="773" max="773" width="15.28515625" style="315" customWidth="1"/>
    <col min="774" max="776" width="13.85546875" style="315" customWidth="1"/>
    <col min="777" max="777" width="10.28515625" style="315" customWidth="1"/>
    <col min="778" max="1023" width="9.140625" style="315"/>
    <col min="1024" max="1024" width="10.7109375" style="315" customWidth="1"/>
    <col min="1025" max="1025" width="63" style="315" customWidth="1"/>
    <col min="1026" max="1026" width="12.140625" style="315" customWidth="1"/>
    <col min="1027" max="1027" width="20" style="315" customWidth="1"/>
    <col min="1028" max="1028" width="10.85546875" style="315" customWidth="1"/>
    <col min="1029" max="1029" width="15.28515625" style="315" customWidth="1"/>
    <col min="1030" max="1032" width="13.85546875" style="315" customWidth="1"/>
    <col min="1033" max="1033" width="10.28515625" style="315" customWidth="1"/>
    <col min="1034" max="1279" width="9.140625" style="315"/>
    <col min="1280" max="1280" width="10.7109375" style="315" customWidth="1"/>
    <col min="1281" max="1281" width="63" style="315" customWidth="1"/>
    <col min="1282" max="1282" width="12.140625" style="315" customWidth="1"/>
    <col min="1283" max="1283" width="20" style="315" customWidth="1"/>
    <col min="1284" max="1284" width="10.85546875" style="315" customWidth="1"/>
    <col min="1285" max="1285" width="15.28515625" style="315" customWidth="1"/>
    <col min="1286" max="1288" width="13.85546875" style="315" customWidth="1"/>
    <col min="1289" max="1289" width="10.28515625" style="315" customWidth="1"/>
    <col min="1290" max="1535" width="9.140625" style="315"/>
    <col min="1536" max="1536" width="10.7109375" style="315" customWidth="1"/>
    <col min="1537" max="1537" width="63" style="315" customWidth="1"/>
    <col min="1538" max="1538" width="12.140625" style="315" customWidth="1"/>
    <col min="1539" max="1539" width="20" style="315" customWidth="1"/>
    <col min="1540" max="1540" width="10.85546875" style="315" customWidth="1"/>
    <col min="1541" max="1541" width="15.28515625" style="315" customWidth="1"/>
    <col min="1542" max="1544" width="13.85546875" style="315" customWidth="1"/>
    <col min="1545" max="1545" width="10.28515625" style="315" customWidth="1"/>
    <col min="1546" max="1791" width="9.140625" style="315"/>
    <col min="1792" max="1792" width="10.7109375" style="315" customWidth="1"/>
    <col min="1793" max="1793" width="63" style="315" customWidth="1"/>
    <col min="1794" max="1794" width="12.140625" style="315" customWidth="1"/>
    <col min="1795" max="1795" width="20" style="315" customWidth="1"/>
    <col min="1796" max="1796" width="10.85546875" style="315" customWidth="1"/>
    <col min="1797" max="1797" width="15.28515625" style="315" customWidth="1"/>
    <col min="1798" max="1800" width="13.85546875" style="315" customWidth="1"/>
    <col min="1801" max="1801" width="10.28515625" style="315" customWidth="1"/>
    <col min="1802" max="2047" width="9.140625" style="315"/>
    <col min="2048" max="2048" width="10.7109375" style="315" customWidth="1"/>
    <col min="2049" max="2049" width="63" style="315" customWidth="1"/>
    <col min="2050" max="2050" width="12.140625" style="315" customWidth="1"/>
    <col min="2051" max="2051" width="20" style="315" customWidth="1"/>
    <col min="2052" max="2052" width="10.85546875" style="315" customWidth="1"/>
    <col min="2053" max="2053" width="15.28515625" style="315" customWidth="1"/>
    <col min="2054" max="2056" width="13.85546875" style="315" customWidth="1"/>
    <col min="2057" max="2057" width="10.28515625" style="315" customWidth="1"/>
    <col min="2058" max="2303" width="9.140625" style="315"/>
    <col min="2304" max="2304" width="10.7109375" style="315" customWidth="1"/>
    <col min="2305" max="2305" width="63" style="315" customWidth="1"/>
    <col min="2306" max="2306" width="12.140625" style="315" customWidth="1"/>
    <col min="2307" max="2307" width="20" style="315" customWidth="1"/>
    <col min="2308" max="2308" width="10.85546875" style="315" customWidth="1"/>
    <col min="2309" max="2309" width="15.28515625" style="315" customWidth="1"/>
    <col min="2310" max="2312" width="13.85546875" style="315" customWidth="1"/>
    <col min="2313" max="2313" width="10.28515625" style="315" customWidth="1"/>
    <col min="2314" max="2559" width="9.140625" style="315"/>
    <col min="2560" max="2560" width="10.7109375" style="315" customWidth="1"/>
    <col min="2561" max="2561" width="63" style="315" customWidth="1"/>
    <col min="2562" max="2562" width="12.140625" style="315" customWidth="1"/>
    <col min="2563" max="2563" width="20" style="315" customWidth="1"/>
    <col min="2564" max="2564" width="10.85546875" style="315" customWidth="1"/>
    <col min="2565" max="2565" width="15.28515625" style="315" customWidth="1"/>
    <col min="2566" max="2568" width="13.85546875" style="315" customWidth="1"/>
    <col min="2569" max="2569" width="10.28515625" style="315" customWidth="1"/>
    <col min="2570" max="2815" width="9.140625" style="315"/>
    <col min="2816" max="2816" width="10.7109375" style="315" customWidth="1"/>
    <col min="2817" max="2817" width="63" style="315" customWidth="1"/>
    <col min="2818" max="2818" width="12.140625" style="315" customWidth="1"/>
    <col min="2819" max="2819" width="20" style="315" customWidth="1"/>
    <col min="2820" max="2820" width="10.85546875" style="315" customWidth="1"/>
    <col min="2821" max="2821" width="15.28515625" style="315" customWidth="1"/>
    <col min="2822" max="2824" width="13.85546875" style="315" customWidth="1"/>
    <col min="2825" max="2825" width="10.28515625" style="315" customWidth="1"/>
    <col min="2826" max="3071" width="9.140625" style="315"/>
    <col min="3072" max="3072" width="10.7109375" style="315" customWidth="1"/>
    <col min="3073" max="3073" width="63" style="315" customWidth="1"/>
    <col min="3074" max="3074" width="12.140625" style="315" customWidth="1"/>
    <col min="3075" max="3075" width="20" style="315" customWidth="1"/>
    <col min="3076" max="3076" width="10.85546875" style="315" customWidth="1"/>
    <col min="3077" max="3077" width="15.28515625" style="315" customWidth="1"/>
    <col min="3078" max="3080" width="13.85546875" style="315" customWidth="1"/>
    <col min="3081" max="3081" width="10.28515625" style="315" customWidth="1"/>
    <col min="3082" max="3327" width="9.140625" style="315"/>
    <col min="3328" max="3328" width="10.7109375" style="315" customWidth="1"/>
    <col min="3329" max="3329" width="63" style="315" customWidth="1"/>
    <col min="3330" max="3330" width="12.140625" style="315" customWidth="1"/>
    <col min="3331" max="3331" width="20" style="315" customWidth="1"/>
    <col min="3332" max="3332" width="10.85546875" style="315" customWidth="1"/>
    <col min="3333" max="3333" width="15.28515625" style="315" customWidth="1"/>
    <col min="3334" max="3336" width="13.85546875" style="315" customWidth="1"/>
    <col min="3337" max="3337" width="10.28515625" style="315" customWidth="1"/>
    <col min="3338" max="3583" width="9.140625" style="315"/>
    <col min="3584" max="3584" width="10.7109375" style="315" customWidth="1"/>
    <col min="3585" max="3585" width="63" style="315" customWidth="1"/>
    <col min="3586" max="3586" width="12.140625" style="315" customWidth="1"/>
    <col min="3587" max="3587" width="20" style="315" customWidth="1"/>
    <col min="3588" max="3588" width="10.85546875" style="315" customWidth="1"/>
    <col min="3589" max="3589" width="15.28515625" style="315" customWidth="1"/>
    <col min="3590" max="3592" width="13.85546875" style="315" customWidth="1"/>
    <col min="3593" max="3593" width="10.28515625" style="315" customWidth="1"/>
    <col min="3594" max="3839" width="9.140625" style="315"/>
    <col min="3840" max="3840" width="10.7109375" style="315" customWidth="1"/>
    <col min="3841" max="3841" width="63" style="315" customWidth="1"/>
    <col min="3842" max="3842" width="12.140625" style="315" customWidth="1"/>
    <col min="3843" max="3843" width="20" style="315" customWidth="1"/>
    <col min="3844" max="3844" width="10.85546875" style="315" customWidth="1"/>
    <col min="3845" max="3845" width="15.28515625" style="315" customWidth="1"/>
    <col min="3846" max="3848" width="13.85546875" style="315" customWidth="1"/>
    <col min="3849" max="3849" width="10.28515625" style="315" customWidth="1"/>
    <col min="3850" max="4095" width="9.140625" style="315"/>
    <col min="4096" max="4096" width="10.7109375" style="315" customWidth="1"/>
    <col min="4097" max="4097" width="63" style="315" customWidth="1"/>
    <col min="4098" max="4098" width="12.140625" style="315" customWidth="1"/>
    <col min="4099" max="4099" width="20" style="315" customWidth="1"/>
    <col min="4100" max="4100" width="10.85546875" style="315" customWidth="1"/>
    <col min="4101" max="4101" width="15.28515625" style="315" customWidth="1"/>
    <col min="4102" max="4104" width="13.85546875" style="315" customWidth="1"/>
    <col min="4105" max="4105" width="10.28515625" style="315" customWidth="1"/>
    <col min="4106" max="4351" width="9.140625" style="315"/>
    <col min="4352" max="4352" width="10.7109375" style="315" customWidth="1"/>
    <col min="4353" max="4353" width="63" style="315" customWidth="1"/>
    <col min="4354" max="4354" width="12.140625" style="315" customWidth="1"/>
    <col min="4355" max="4355" width="20" style="315" customWidth="1"/>
    <col min="4356" max="4356" width="10.85546875" style="315" customWidth="1"/>
    <col min="4357" max="4357" width="15.28515625" style="315" customWidth="1"/>
    <col min="4358" max="4360" width="13.85546875" style="315" customWidth="1"/>
    <col min="4361" max="4361" width="10.28515625" style="315" customWidth="1"/>
    <col min="4362" max="4607" width="9.140625" style="315"/>
    <col min="4608" max="4608" width="10.7109375" style="315" customWidth="1"/>
    <col min="4609" max="4609" width="63" style="315" customWidth="1"/>
    <col min="4610" max="4610" width="12.140625" style="315" customWidth="1"/>
    <col min="4611" max="4611" width="20" style="315" customWidth="1"/>
    <col min="4612" max="4612" width="10.85546875" style="315" customWidth="1"/>
    <col min="4613" max="4613" width="15.28515625" style="315" customWidth="1"/>
    <col min="4614" max="4616" width="13.85546875" style="315" customWidth="1"/>
    <col min="4617" max="4617" width="10.28515625" style="315" customWidth="1"/>
    <col min="4618" max="4863" width="9.140625" style="315"/>
    <col min="4864" max="4864" width="10.7109375" style="315" customWidth="1"/>
    <col min="4865" max="4865" width="63" style="315" customWidth="1"/>
    <col min="4866" max="4866" width="12.140625" style="315" customWidth="1"/>
    <col min="4867" max="4867" width="20" style="315" customWidth="1"/>
    <col min="4868" max="4868" width="10.85546875" style="315" customWidth="1"/>
    <col min="4869" max="4869" width="15.28515625" style="315" customWidth="1"/>
    <col min="4870" max="4872" width="13.85546875" style="315" customWidth="1"/>
    <col min="4873" max="4873" width="10.28515625" style="315" customWidth="1"/>
    <col min="4874" max="5119" width="9.140625" style="315"/>
    <col min="5120" max="5120" width="10.7109375" style="315" customWidth="1"/>
    <col min="5121" max="5121" width="63" style="315" customWidth="1"/>
    <col min="5122" max="5122" width="12.140625" style="315" customWidth="1"/>
    <col min="5123" max="5123" width="20" style="315" customWidth="1"/>
    <col min="5124" max="5124" width="10.85546875" style="315" customWidth="1"/>
    <col min="5125" max="5125" width="15.28515625" style="315" customWidth="1"/>
    <col min="5126" max="5128" width="13.85546875" style="315" customWidth="1"/>
    <col min="5129" max="5129" width="10.28515625" style="315" customWidth="1"/>
    <col min="5130" max="5375" width="9.140625" style="315"/>
    <col min="5376" max="5376" width="10.7109375" style="315" customWidth="1"/>
    <col min="5377" max="5377" width="63" style="315" customWidth="1"/>
    <col min="5378" max="5378" width="12.140625" style="315" customWidth="1"/>
    <col min="5379" max="5379" width="20" style="315" customWidth="1"/>
    <col min="5380" max="5380" width="10.85546875" style="315" customWidth="1"/>
    <col min="5381" max="5381" width="15.28515625" style="315" customWidth="1"/>
    <col min="5382" max="5384" width="13.85546875" style="315" customWidth="1"/>
    <col min="5385" max="5385" width="10.28515625" style="315" customWidth="1"/>
    <col min="5386" max="5631" width="9.140625" style="315"/>
    <col min="5632" max="5632" width="10.7109375" style="315" customWidth="1"/>
    <col min="5633" max="5633" width="63" style="315" customWidth="1"/>
    <col min="5634" max="5634" width="12.140625" style="315" customWidth="1"/>
    <col min="5635" max="5635" width="20" style="315" customWidth="1"/>
    <col min="5636" max="5636" width="10.85546875" style="315" customWidth="1"/>
    <col min="5637" max="5637" width="15.28515625" style="315" customWidth="1"/>
    <col min="5638" max="5640" width="13.85546875" style="315" customWidth="1"/>
    <col min="5641" max="5641" width="10.28515625" style="315" customWidth="1"/>
    <col min="5642" max="5887" width="9.140625" style="315"/>
    <col min="5888" max="5888" width="10.7109375" style="315" customWidth="1"/>
    <col min="5889" max="5889" width="63" style="315" customWidth="1"/>
    <col min="5890" max="5890" width="12.140625" style="315" customWidth="1"/>
    <col min="5891" max="5891" width="20" style="315" customWidth="1"/>
    <col min="5892" max="5892" width="10.85546875" style="315" customWidth="1"/>
    <col min="5893" max="5893" width="15.28515625" style="315" customWidth="1"/>
    <col min="5894" max="5896" width="13.85546875" style="315" customWidth="1"/>
    <col min="5897" max="5897" width="10.28515625" style="315" customWidth="1"/>
    <col min="5898" max="6143" width="9.140625" style="315"/>
    <col min="6144" max="6144" width="10.7109375" style="315" customWidth="1"/>
    <col min="6145" max="6145" width="63" style="315" customWidth="1"/>
    <col min="6146" max="6146" width="12.140625" style="315" customWidth="1"/>
    <col min="6147" max="6147" width="20" style="315" customWidth="1"/>
    <col min="6148" max="6148" width="10.85546875" style="315" customWidth="1"/>
    <col min="6149" max="6149" width="15.28515625" style="315" customWidth="1"/>
    <col min="6150" max="6152" width="13.85546875" style="315" customWidth="1"/>
    <col min="6153" max="6153" width="10.28515625" style="315" customWidth="1"/>
    <col min="6154" max="6399" width="9.140625" style="315"/>
    <col min="6400" max="6400" width="10.7109375" style="315" customWidth="1"/>
    <col min="6401" max="6401" width="63" style="315" customWidth="1"/>
    <col min="6402" max="6402" width="12.140625" style="315" customWidth="1"/>
    <col min="6403" max="6403" width="20" style="315" customWidth="1"/>
    <col min="6404" max="6404" width="10.85546875" style="315" customWidth="1"/>
    <col min="6405" max="6405" width="15.28515625" style="315" customWidth="1"/>
    <col min="6406" max="6408" width="13.85546875" style="315" customWidth="1"/>
    <col min="6409" max="6409" width="10.28515625" style="315" customWidth="1"/>
    <col min="6410" max="6655" width="9.140625" style="315"/>
    <col min="6656" max="6656" width="10.7109375" style="315" customWidth="1"/>
    <col min="6657" max="6657" width="63" style="315" customWidth="1"/>
    <col min="6658" max="6658" width="12.140625" style="315" customWidth="1"/>
    <col min="6659" max="6659" width="20" style="315" customWidth="1"/>
    <col min="6660" max="6660" width="10.85546875" style="315" customWidth="1"/>
    <col min="6661" max="6661" width="15.28515625" style="315" customWidth="1"/>
    <col min="6662" max="6664" width="13.85546875" style="315" customWidth="1"/>
    <col min="6665" max="6665" width="10.28515625" style="315" customWidth="1"/>
    <col min="6666" max="6911" width="9.140625" style="315"/>
    <col min="6912" max="6912" width="10.7109375" style="315" customWidth="1"/>
    <col min="6913" max="6913" width="63" style="315" customWidth="1"/>
    <col min="6914" max="6914" width="12.140625" style="315" customWidth="1"/>
    <col min="6915" max="6915" width="20" style="315" customWidth="1"/>
    <col min="6916" max="6916" width="10.85546875" style="315" customWidth="1"/>
    <col min="6917" max="6917" width="15.28515625" style="315" customWidth="1"/>
    <col min="6918" max="6920" width="13.85546875" style="315" customWidth="1"/>
    <col min="6921" max="6921" width="10.28515625" style="315" customWidth="1"/>
    <col min="6922" max="7167" width="9.140625" style="315"/>
    <col min="7168" max="7168" width="10.7109375" style="315" customWidth="1"/>
    <col min="7169" max="7169" width="63" style="315" customWidth="1"/>
    <col min="7170" max="7170" width="12.140625" style="315" customWidth="1"/>
    <col min="7171" max="7171" width="20" style="315" customWidth="1"/>
    <col min="7172" max="7172" width="10.85546875" style="315" customWidth="1"/>
    <col min="7173" max="7173" width="15.28515625" style="315" customWidth="1"/>
    <col min="7174" max="7176" width="13.85546875" style="315" customWidth="1"/>
    <col min="7177" max="7177" width="10.28515625" style="315" customWidth="1"/>
    <col min="7178" max="7423" width="9.140625" style="315"/>
    <col min="7424" max="7424" width="10.7109375" style="315" customWidth="1"/>
    <col min="7425" max="7425" width="63" style="315" customWidth="1"/>
    <col min="7426" max="7426" width="12.140625" style="315" customWidth="1"/>
    <col min="7427" max="7427" width="20" style="315" customWidth="1"/>
    <col min="7428" max="7428" width="10.85546875" style="315" customWidth="1"/>
    <col min="7429" max="7429" width="15.28515625" style="315" customWidth="1"/>
    <col min="7430" max="7432" width="13.85546875" style="315" customWidth="1"/>
    <col min="7433" max="7433" width="10.28515625" style="315" customWidth="1"/>
    <col min="7434" max="7679" width="9.140625" style="315"/>
    <col min="7680" max="7680" width="10.7109375" style="315" customWidth="1"/>
    <col min="7681" max="7681" width="63" style="315" customWidth="1"/>
    <col min="7682" max="7682" width="12.140625" style="315" customWidth="1"/>
    <col min="7683" max="7683" width="20" style="315" customWidth="1"/>
    <col min="7684" max="7684" width="10.85546875" style="315" customWidth="1"/>
    <col min="7685" max="7685" width="15.28515625" style="315" customWidth="1"/>
    <col min="7686" max="7688" width="13.85546875" style="315" customWidth="1"/>
    <col min="7689" max="7689" width="10.28515625" style="315" customWidth="1"/>
    <col min="7690" max="7935" width="9.140625" style="315"/>
    <col min="7936" max="7936" width="10.7109375" style="315" customWidth="1"/>
    <col min="7937" max="7937" width="63" style="315" customWidth="1"/>
    <col min="7938" max="7938" width="12.140625" style="315" customWidth="1"/>
    <col min="7939" max="7939" width="20" style="315" customWidth="1"/>
    <col min="7940" max="7940" width="10.85546875" style="315" customWidth="1"/>
    <col min="7941" max="7941" width="15.28515625" style="315" customWidth="1"/>
    <col min="7942" max="7944" width="13.85546875" style="315" customWidth="1"/>
    <col min="7945" max="7945" width="10.28515625" style="315" customWidth="1"/>
    <col min="7946" max="8191" width="9.140625" style="315"/>
    <col min="8192" max="8192" width="10.7109375" style="315" customWidth="1"/>
    <col min="8193" max="8193" width="63" style="315" customWidth="1"/>
    <col min="8194" max="8194" width="12.140625" style="315" customWidth="1"/>
    <col min="8195" max="8195" width="20" style="315" customWidth="1"/>
    <col min="8196" max="8196" width="10.85546875" style="315" customWidth="1"/>
    <col min="8197" max="8197" width="15.28515625" style="315" customWidth="1"/>
    <col min="8198" max="8200" width="13.85546875" style="315" customWidth="1"/>
    <col min="8201" max="8201" width="10.28515625" style="315" customWidth="1"/>
    <col min="8202" max="8447" width="9.140625" style="315"/>
    <col min="8448" max="8448" width="10.7109375" style="315" customWidth="1"/>
    <col min="8449" max="8449" width="63" style="315" customWidth="1"/>
    <col min="8450" max="8450" width="12.140625" style="315" customWidth="1"/>
    <col min="8451" max="8451" width="20" style="315" customWidth="1"/>
    <col min="8452" max="8452" width="10.85546875" style="315" customWidth="1"/>
    <col min="8453" max="8453" width="15.28515625" style="315" customWidth="1"/>
    <col min="8454" max="8456" width="13.85546875" style="315" customWidth="1"/>
    <col min="8457" max="8457" width="10.28515625" style="315" customWidth="1"/>
    <col min="8458" max="8703" width="9.140625" style="315"/>
    <col min="8704" max="8704" width="10.7109375" style="315" customWidth="1"/>
    <col min="8705" max="8705" width="63" style="315" customWidth="1"/>
    <col min="8706" max="8706" width="12.140625" style="315" customWidth="1"/>
    <col min="8707" max="8707" width="20" style="315" customWidth="1"/>
    <col min="8708" max="8708" width="10.85546875" style="315" customWidth="1"/>
    <col min="8709" max="8709" width="15.28515625" style="315" customWidth="1"/>
    <col min="8710" max="8712" width="13.85546875" style="315" customWidth="1"/>
    <col min="8713" max="8713" width="10.28515625" style="315" customWidth="1"/>
    <col min="8714" max="8959" width="9.140625" style="315"/>
    <col min="8960" max="8960" width="10.7109375" style="315" customWidth="1"/>
    <col min="8961" max="8961" width="63" style="315" customWidth="1"/>
    <col min="8962" max="8962" width="12.140625" style="315" customWidth="1"/>
    <col min="8963" max="8963" width="20" style="315" customWidth="1"/>
    <col min="8964" max="8964" width="10.85546875" style="315" customWidth="1"/>
    <col min="8965" max="8965" width="15.28515625" style="315" customWidth="1"/>
    <col min="8966" max="8968" width="13.85546875" style="315" customWidth="1"/>
    <col min="8969" max="8969" width="10.28515625" style="315" customWidth="1"/>
    <col min="8970" max="9215" width="9.140625" style="315"/>
    <col min="9216" max="9216" width="10.7109375" style="315" customWidth="1"/>
    <col min="9217" max="9217" width="63" style="315" customWidth="1"/>
    <col min="9218" max="9218" width="12.140625" style="315" customWidth="1"/>
    <col min="9219" max="9219" width="20" style="315" customWidth="1"/>
    <col min="9220" max="9220" width="10.85546875" style="315" customWidth="1"/>
    <col min="9221" max="9221" width="15.28515625" style="315" customWidth="1"/>
    <col min="9222" max="9224" width="13.85546875" style="315" customWidth="1"/>
    <col min="9225" max="9225" width="10.28515625" style="315" customWidth="1"/>
    <col min="9226" max="9471" width="9.140625" style="315"/>
    <col min="9472" max="9472" width="10.7109375" style="315" customWidth="1"/>
    <col min="9473" max="9473" width="63" style="315" customWidth="1"/>
    <col min="9474" max="9474" width="12.140625" style="315" customWidth="1"/>
    <col min="9475" max="9475" width="20" style="315" customWidth="1"/>
    <col min="9476" max="9476" width="10.85546875" style="315" customWidth="1"/>
    <col min="9477" max="9477" width="15.28515625" style="315" customWidth="1"/>
    <col min="9478" max="9480" width="13.85546875" style="315" customWidth="1"/>
    <col min="9481" max="9481" width="10.28515625" style="315" customWidth="1"/>
    <col min="9482" max="9727" width="9.140625" style="315"/>
    <col min="9728" max="9728" width="10.7109375" style="315" customWidth="1"/>
    <col min="9729" max="9729" width="63" style="315" customWidth="1"/>
    <col min="9730" max="9730" width="12.140625" style="315" customWidth="1"/>
    <col min="9731" max="9731" width="20" style="315" customWidth="1"/>
    <col min="9732" max="9732" width="10.85546875" style="315" customWidth="1"/>
    <col min="9733" max="9733" width="15.28515625" style="315" customWidth="1"/>
    <col min="9734" max="9736" width="13.85546875" style="315" customWidth="1"/>
    <col min="9737" max="9737" width="10.28515625" style="315" customWidth="1"/>
    <col min="9738" max="9983" width="9.140625" style="315"/>
    <col min="9984" max="9984" width="10.7109375" style="315" customWidth="1"/>
    <col min="9985" max="9985" width="63" style="315" customWidth="1"/>
    <col min="9986" max="9986" width="12.140625" style="315" customWidth="1"/>
    <col min="9987" max="9987" width="20" style="315" customWidth="1"/>
    <col min="9988" max="9988" width="10.85546875" style="315" customWidth="1"/>
    <col min="9989" max="9989" width="15.28515625" style="315" customWidth="1"/>
    <col min="9990" max="9992" width="13.85546875" style="315" customWidth="1"/>
    <col min="9993" max="9993" width="10.28515625" style="315" customWidth="1"/>
    <col min="9994" max="10239" width="9.140625" style="315"/>
    <col min="10240" max="10240" width="10.7109375" style="315" customWidth="1"/>
    <col min="10241" max="10241" width="63" style="315" customWidth="1"/>
    <col min="10242" max="10242" width="12.140625" style="315" customWidth="1"/>
    <col min="10243" max="10243" width="20" style="315" customWidth="1"/>
    <col min="10244" max="10244" width="10.85546875" style="315" customWidth="1"/>
    <col min="10245" max="10245" width="15.28515625" style="315" customWidth="1"/>
    <col min="10246" max="10248" width="13.85546875" style="315" customWidth="1"/>
    <col min="10249" max="10249" width="10.28515625" style="315" customWidth="1"/>
    <col min="10250" max="10495" width="9.140625" style="315"/>
    <col min="10496" max="10496" width="10.7109375" style="315" customWidth="1"/>
    <col min="10497" max="10497" width="63" style="315" customWidth="1"/>
    <col min="10498" max="10498" width="12.140625" style="315" customWidth="1"/>
    <col min="10499" max="10499" width="20" style="315" customWidth="1"/>
    <col min="10500" max="10500" width="10.85546875" style="315" customWidth="1"/>
    <col min="10501" max="10501" width="15.28515625" style="315" customWidth="1"/>
    <col min="10502" max="10504" width="13.85546875" style="315" customWidth="1"/>
    <col min="10505" max="10505" width="10.28515625" style="315" customWidth="1"/>
    <col min="10506" max="10751" width="9.140625" style="315"/>
    <col min="10752" max="10752" width="10.7109375" style="315" customWidth="1"/>
    <col min="10753" max="10753" width="63" style="315" customWidth="1"/>
    <col min="10754" max="10754" width="12.140625" style="315" customWidth="1"/>
    <col min="10755" max="10755" width="20" style="315" customWidth="1"/>
    <col min="10756" max="10756" width="10.85546875" style="315" customWidth="1"/>
    <col min="10757" max="10757" width="15.28515625" style="315" customWidth="1"/>
    <col min="10758" max="10760" width="13.85546875" style="315" customWidth="1"/>
    <col min="10761" max="10761" width="10.28515625" style="315" customWidth="1"/>
    <col min="10762" max="11007" width="9.140625" style="315"/>
    <col min="11008" max="11008" width="10.7109375" style="315" customWidth="1"/>
    <col min="11009" max="11009" width="63" style="315" customWidth="1"/>
    <col min="11010" max="11010" width="12.140625" style="315" customWidth="1"/>
    <col min="11011" max="11011" width="20" style="315" customWidth="1"/>
    <col min="11012" max="11012" width="10.85546875" style="315" customWidth="1"/>
    <col min="11013" max="11013" width="15.28515625" style="315" customWidth="1"/>
    <col min="11014" max="11016" width="13.85546875" style="315" customWidth="1"/>
    <col min="11017" max="11017" width="10.28515625" style="315" customWidth="1"/>
    <col min="11018" max="11263" width="9.140625" style="315"/>
    <col min="11264" max="11264" width="10.7109375" style="315" customWidth="1"/>
    <col min="11265" max="11265" width="63" style="315" customWidth="1"/>
    <col min="11266" max="11266" width="12.140625" style="315" customWidth="1"/>
    <col min="11267" max="11267" width="20" style="315" customWidth="1"/>
    <col min="11268" max="11268" width="10.85546875" style="315" customWidth="1"/>
    <col min="11269" max="11269" width="15.28515625" style="315" customWidth="1"/>
    <col min="11270" max="11272" width="13.85546875" style="315" customWidth="1"/>
    <col min="11273" max="11273" width="10.28515625" style="315" customWidth="1"/>
    <col min="11274" max="11519" width="9.140625" style="315"/>
    <col min="11520" max="11520" width="10.7109375" style="315" customWidth="1"/>
    <col min="11521" max="11521" width="63" style="315" customWidth="1"/>
    <col min="11522" max="11522" width="12.140625" style="315" customWidth="1"/>
    <col min="11523" max="11523" width="20" style="315" customWidth="1"/>
    <col min="11524" max="11524" width="10.85546875" style="315" customWidth="1"/>
    <col min="11525" max="11525" width="15.28515625" style="315" customWidth="1"/>
    <col min="11526" max="11528" width="13.85546875" style="315" customWidth="1"/>
    <col min="11529" max="11529" width="10.28515625" style="315" customWidth="1"/>
    <col min="11530" max="11775" width="9.140625" style="315"/>
    <col min="11776" max="11776" width="10.7109375" style="315" customWidth="1"/>
    <col min="11777" max="11777" width="63" style="315" customWidth="1"/>
    <col min="11778" max="11778" width="12.140625" style="315" customWidth="1"/>
    <col min="11779" max="11779" width="20" style="315" customWidth="1"/>
    <col min="11780" max="11780" width="10.85546875" style="315" customWidth="1"/>
    <col min="11781" max="11781" width="15.28515625" style="315" customWidth="1"/>
    <col min="11782" max="11784" width="13.85546875" style="315" customWidth="1"/>
    <col min="11785" max="11785" width="10.28515625" style="315" customWidth="1"/>
    <col min="11786" max="12031" width="9.140625" style="315"/>
    <col min="12032" max="12032" width="10.7109375" style="315" customWidth="1"/>
    <col min="12033" max="12033" width="63" style="315" customWidth="1"/>
    <col min="12034" max="12034" width="12.140625" style="315" customWidth="1"/>
    <col min="12035" max="12035" width="20" style="315" customWidth="1"/>
    <col min="12036" max="12036" width="10.85546875" style="315" customWidth="1"/>
    <col min="12037" max="12037" width="15.28515625" style="315" customWidth="1"/>
    <col min="12038" max="12040" width="13.85546875" style="315" customWidth="1"/>
    <col min="12041" max="12041" width="10.28515625" style="315" customWidth="1"/>
    <col min="12042" max="12287" width="9.140625" style="315"/>
    <col min="12288" max="12288" width="10.7109375" style="315" customWidth="1"/>
    <col min="12289" max="12289" width="63" style="315" customWidth="1"/>
    <col min="12290" max="12290" width="12.140625" style="315" customWidth="1"/>
    <col min="12291" max="12291" width="20" style="315" customWidth="1"/>
    <col min="12292" max="12292" width="10.85546875" style="315" customWidth="1"/>
    <col min="12293" max="12293" width="15.28515625" style="315" customWidth="1"/>
    <col min="12294" max="12296" width="13.85546875" style="315" customWidth="1"/>
    <col min="12297" max="12297" width="10.28515625" style="315" customWidth="1"/>
    <col min="12298" max="12543" width="9.140625" style="315"/>
    <col min="12544" max="12544" width="10.7109375" style="315" customWidth="1"/>
    <col min="12545" max="12545" width="63" style="315" customWidth="1"/>
    <col min="12546" max="12546" width="12.140625" style="315" customWidth="1"/>
    <col min="12547" max="12547" width="20" style="315" customWidth="1"/>
    <col min="12548" max="12548" width="10.85546875" style="315" customWidth="1"/>
    <col min="12549" max="12549" width="15.28515625" style="315" customWidth="1"/>
    <col min="12550" max="12552" width="13.85546875" style="315" customWidth="1"/>
    <col min="12553" max="12553" width="10.28515625" style="315" customWidth="1"/>
    <col min="12554" max="12799" width="9.140625" style="315"/>
    <col min="12800" max="12800" width="10.7109375" style="315" customWidth="1"/>
    <col min="12801" max="12801" width="63" style="315" customWidth="1"/>
    <col min="12802" max="12802" width="12.140625" style="315" customWidth="1"/>
    <col min="12803" max="12803" width="20" style="315" customWidth="1"/>
    <col min="12804" max="12804" width="10.85546875" style="315" customWidth="1"/>
    <col min="12805" max="12805" width="15.28515625" style="315" customWidth="1"/>
    <col min="12806" max="12808" width="13.85546875" style="315" customWidth="1"/>
    <col min="12809" max="12809" width="10.28515625" style="315" customWidth="1"/>
    <col min="12810" max="13055" width="9.140625" style="315"/>
    <col min="13056" max="13056" width="10.7109375" style="315" customWidth="1"/>
    <col min="13057" max="13057" width="63" style="315" customWidth="1"/>
    <col min="13058" max="13058" width="12.140625" style="315" customWidth="1"/>
    <col min="13059" max="13059" width="20" style="315" customWidth="1"/>
    <col min="13060" max="13060" width="10.85546875" style="315" customWidth="1"/>
    <col min="13061" max="13061" width="15.28515625" style="315" customWidth="1"/>
    <col min="13062" max="13064" width="13.85546875" style="315" customWidth="1"/>
    <col min="13065" max="13065" width="10.28515625" style="315" customWidth="1"/>
    <col min="13066" max="13311" width="9.140625" style="315"/>
    <col min="13312" max="13312" width="10.7109375" style="315" customWidth="1"/>
    <col min="13313" max="13313" width="63" style="315" customWidth="1"/>
    <col min="13314" max="13314" width="12.140625" style="315" customWidth="1"/>
    <col min="13315" max="13315" width="20" style="315" customWidth="1"/>
    <col min="13316" max="13316" width="10.85546875" style="315" customWidth="1"/>
    <col min="13317" max="13317" width="15.28515625" style="315" customWidth="1"/>
    <col min="13318" max="13320" width="13.85546875" style="315" customWidth="1"/>
    <col min="13321" max="13321" width="10.28515625" style="315" customWidth="1"/>
    <col min="13322" max="13567" width="9.140625" style="315"/>
    <col min="13568" max="13568" width="10.7109375" style="315" customWidth="1"/>
    <col min="13569" max="13569" width="63" style="315" customWidth="1"/>
    <col min="13570" max="13570" width="12.140625" style="315" customWidth="1"/>
    <col min="13571" max="13571" width="20" style="315" customWidth="1"/>
    <col min="13572" max="13572" width="10.85546875" style="315" customWidth="1"/>
    <col min="13573" max="13573" width="15.28515625" style="315" customWidth="1"/>
    <col min="13574" max="13576" width="13.85546875" style="315" customWidth="1"/>
    <col min="13577" max="13577" width="10.28515625" style="315" customWidth="1"/>
    <col min="13578" max="13823" width="9.140625" style="315"/>
    <col min="13824" max="13824" width="10.7109375" style="315" customWidth="1"/>
    <col min="13825" max="13825" width="63" style="315" customWidth="1"/>
    <col min="13826" max="13826" width="12.140625" style="315" customWidth="1"/>
    <col min="13827" max="13827" width="20" style="315" customWidth="1"/>
    <col min="13828" max="13828" width="10.85546875" style="315" customWidth="1"/>
    <col min="13829" max="13829" width="15.28515625" style="315" customWidth="1"/>
    <col min="13830" max="13832" width="13.85546875" style="315" customWidth="1"/>
    <col min="13833" max="13833" width="10.28515625" style="315" customWidth="1"/>
    <col min="13834" max="14079" width="9.140625" style="315"/>
    <col min="14080" max="14080" width="10.7109375" style="315" customWidth="1"/>
    <col min="14081" max="14081" width="63" style="315" customWidth="1"/>
    <col min="14082" max="14082" width="12.140625" style="315" customWidth="1"/>
    <col min="14083" max="14083" width="20" style="315" customWidth="1"/>
    <col min="14084" max="14084" width="10.85546875" style="315" customWidth="1"/>
    <col min="14085" max="14085" width="15.28515625" style="315" customWidth="1"/>
    <col min="14086" max="14088" width="13.85546875" style="315" customWidth="1"/>
    <col min="14089" max="14089" width="10.28515625" style="315" customWidth="1"/>
    <col min="14090" max="14335" width="9.140625" style="315"/>
    <col min="14336" max="14336" width="10.7109375" style="315" customWidth="1"/>
    <col min="14337" max="14337" width="63" style="315" customWidth="1"/>
    <col min="14338" max="14338" width="12.140625" style="315" customWidth="1"/>
    <col min="14339" max="14339" width="20" style="315" customWidth="1"/>
    <col min="14340" max="14340" width="10.85546875" style="315" customWidth="1"/>
    <col min="14341" max="14341" width="15.28515625" style="315" customWidth="1"/>
    <col min="14342" max="14344" width="13.85546875" style="315" customWidth="1"/>
    <col min="14345" max="14345" width="10.28515625" style="315" customWidth="1"/>
    <col min="14346" max="14591" width="9.140625" style="315"/>
    <col min="14592" max="14592" width="10.7109375" style="315" customWidth="1"/>
    <col min="14593" max="14593" width="63" style="315" customWidth="1"/>
    <col min="14594" max="14594" width="12.140625" style="315" customWidth="1"/>
    <col min="14595" max="14595" width="20" style="315" customWidth="1"/>
    <col min="14596" max="14596" width="10.85546875" style="315" customWidth="1"/>
    <col min="14597" max="14597" width="15.28515625" style="315" customWidth="1"/>
    <col min="14598" max="14600" width="13.85546875" style="315" customWidth="1"/>
    <col min="14601" max="14601" width="10.28515625" style="315" customWidth="1"/>
    <col min="14602" max="14847" width="9.140625" style="315"/>
    <col min="14848" max="14848" width="10.7109375" style="315" customWidth="1"/>
    <col min="14849" max="14849" width="63" style="315" customWidth="1"/>
    <col min="14850" max="14850" width="12.140625" style="315" customWidth="1"/>
    <col min="14851" max="14851" width="20" style="315" customWidth="1"/>
    <col min="14852" max="14852" width="10.85546875" style="315" customWidth="1"/>
    <col min="14853" max="14853" width="15.28515625" style="315" customWidth="1"/>
    <col min="14854" max="14856" width="13.85546875" style="315" customWidth="1"/>
    <col min="14857" max="14857" width="10.28515625" style="315" customWidth="1"/>
    <col min="14858" max="15103" width="9.140625" style="315"/>
    <col min="15104" max="15104" width="10.7109375" style="315" customWidth="1"/>
    <col min="15105" max="15105" width="63" style="315" customWidth="1"/>
    <col min="15106" max="15106" width="12.140625" style="315" customWidth="1"/>
    <col min="15107" max="15107" width="20" style="315" customWidth="1"/>
    <col min="15108" max="15108" width="10.85546875" style="315" customWidth="1"/>
    <col min="15109" max="15109" width="15.28515625" style="315" customWidth="1"/>
    <col min="15110" max="15112" width="13.85546875" style="315" customWidth="1"/>
    <col min="15113" max="15113" width="10.28515625" style="315" customWidth="1"/>
    <col min="15114" max="15359" width="9.140625" style="315"/>
    <col min="15360" max="15360" width="10.7109375" style="315" customWidth="1"/>
    <col min="15361" max="15361" width="63" style="315" customWidth="1"/>
    <col min="15362" max="15362" width="12.140625" style="315" customWidth="1"/>
    <col min="15363" max="15363" width="20" style="315" customWidth="1"/>
    <col min="15364" max="15364" width="10.85546875" style="315" customWidth="1"/>
    <col min="15365" max="15365" width="15.28515625" style="315" customWidth="1"/>
    <col min="15366" max="15368" width="13.85546875" style="315" customWidth="1"/>
    <col min="15369" max="15369" width="10.28515625" style="315" customWidth="1"/>
    <col min="15370" max="15615" width="9.140625" style="315"/>
    <col min="15616" max="15616" width="10.7109375" style="315" customWidth="1"/>
    <col min="15617" max="15617" width="63" style="315" customWidth="1"/>
    <col min="15618" max="15618" width="12.140625" style="315" customWidth="1"/>
    <col min="15619" max="15619" width="20" style="315" customWidth="1"/>
    <col min="15620" max="15620" width="10.85546875" style="315" customWidth="1"/>
    <col min="15621" max="15621" width="15.28515625" style="315" customWidth="1"/>
    <col min="15622" max="15624" width="13.85546875" style="315" customWidth="1"/>
    <col min="15625" max="15625" width="10.28515625" style="315" customWidth="1"/>
    <col min="15626" max="15871" width="9.140625" style="315"/>
    <col min="15872" max="15872" width="10.7109375" style="315" customWidth="1"/>
    <col min="15873" max="15873" width="63" style="315" customWidth="1"/>
    <col min="15874" max="15874" width="12.140625" style="315" customWidth="1"/>
    <col min="15875" max="15875" width="20" style="315" customWidth="1"/>
    <col min="15876" max="15876" width="10.85546875" style="315" customWidth="1"/>
    <col min="15877" max="15877" width="15.28515625" style="315" customWidth="1"/>
    <col min="15878" max="15880" width="13.85546875" style="315" customWidth="1"/>
    <col min="15881" max="15881" width="10.28515625" style="315" customWidth="1"/>
    <col min="15882" max="16127" width="9.140625" style="315"/>
    <col min="16128" max="16128" width="10.7109375" style="315" customWidth="1"/>
    <col min="16129" max="16129" width="63" style="315" customWidth="1"/>
    <col min="16130" max="16130" width="12.140625" style="315" customWidth="1"/>
    <col min="16131" max="16131" width="20" style="315" customWidth="1"/>
    <col min="16132" max="16132" width="10.85546875" style="315" customWidth="1"/>
    <col min="16133" max="16133" width="15.28515625" style="315" customWidth="1"/>
    <col min="16134" max="16136" width="13.85546875" style="315" customWidth="1"/>
    <col min="16137" max="16137" width="10.28515625" style="315" customWidth="1"/>
    <col min="16138" max="16384" width="9.140625" style="315"/>
  </cols>
  <sheetData>
    <row r="1" spans="1:16" s="307" customFormat="1" ht="13.5" customHeight="1">
      <c r="A1" s="773" t="s">
        <v>11</v>
      </c>
      <c r="B1" s="774"/>
      <c r="C1" s="774"/>
      <c r="D1" s="774"/>
      <c r="E1" s="774"/>
      <c r="F1" s="774"/>
      <c r="G1" s="774"/>
      <c r="H1" s="774"/>
      <c r="I1" s="774"/>
      <c r="J1" s="774"/>
      <c r="K1" s="774"/>
      <c r="L1" s="774"/>
      <c r="M1" s="774"/>
      <c r="N1" s="774"/>
      <c r="O1" s="774"/>
      <c r="P1" s="775"/>
    </row>
    <row r="2" spans="1:16" s="308" customFormat="1" ht="16.5" customHeight="1">
      <c r="A2" s="776"/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8"/>
    </row>
    <row r="3" spans="1:16" s="309" customFormat="1" ht="24" customHeight="1">
      <c r="A3" s="779" t="s">
        <v>2</v>
      </c>
      <c r="B3" s="780"/>
      <c r="C3" s="780"/>
      <c r="D3" s="780"/>
      <c r="E3" s="780"/>
      <c r="F3" s="780"/>
      <c r="G3" s="780"/>
      <c r="H3" s="780"/>
      <c r="I3" s="780"/>
      <c r="J3" s="780"/>
      <c r="K3" s="780"/>
      <c r="L3" s="780"/>
      <c r="M3" s="780"/>
      <c r="N3" s="780"/>
      <c r="O3" s="780"/>
      <c r="P3" s="781"/>
    </row>
    <row r="4" spans="1:16" s="310" customFormat="1" ht="21.75" customHeight="1">
      <c r="A4" s="782" t="str">
        <f>Orçamento!A6</f>
        <v>COLETA ORGANICA, COLETA SELETIVA, TRANSPORTE, ARMAZENAMENTO (ESTAÇÃO DE TRANSBORDO), CLASSIFICAÇÃO/SELEÇÃO, TRANSPORTE ATÉ O DESTINO FINAL DE RESÍDUOS SÓLIDOS DOMICILIARES</v>
      </c>
      <c r="B4" s="783"/>
      <c r="C4" s="783"/>
      <c r="D4" s="783"/>
      <c r="E4" s="783"/>
      <c r="F4" s="783"/>
      <c r="G4" s="783"/>
      <c r="H4" s="783"/>
      <c r="I4" s="783"/>
      <c r="J4" s="783"/>
      <c r="K4" s="783"/>
      <c r="L4" s="783"/>
      <c r="M4" s="783"/>
      <c r="N4" s="783"/>
      <c r="O4" s="783"/>
      <c r="P4" s="784"/>
    </row>
    <row r="5" spans="1:16" s="310" customFormat="1" ht="21.75" customHeight="1">
      <c r="A5" s="785" t="s">
        <v>12</v>
      </c>
      <c r="B5" s="786"/>
      <c r="C5" s="786"/>
      <c r="D5" s="786"/>
      <c r="E5" s="786"/>
      <c r="F5" s="786"/>
      <c r="G5" s="786"/>
      <c r="H5" s="786"/>
      <c r="I5" s="786"/>
      <c r="J5" s="786"/>
      <c r="K5" s="786"/>
      <c r="L5" s="786"/>
      <c r="M5" s="786"/>
      <c r="N5" s="786"/>
      <c r="O5" s="786"/>
      <c r="P5" s="787"/>
    </row>
    <row r="6" spans="1:16" s="311" customFormat="1" ht="22.5" customHeight="1">
      <c r="A6" s="791" t="s">
        <v>13</v>
      </c>
      <c r="B6" s="317" t="s">
        <v>14</v>
      </c>
      <c r="C6" s="318" t="s">
        <v>15</v>
      </c>
      <c r="D6" s="319" t="s">
        <v>16</v>
      </c>
      <c r="E6" s="788" t="s">
        <v>17</v>
      </c>
      <c r="F6" s="789"/>
      <c r="G6" s="789"/>
      <c r="H6" s="789"/>
      <c r="I6" s="789"/>
      <c r="J6" s="789"/>
      <c r="K6" s="789"/>
      <c r="L6" s="789"/>
      <c r="M6" s="789"/>
      <c r="N6" s="789"/>
      <c r="O6" s="789"/>
      <c r="P6" s="790"/>
    </row>
    <row r="7" spans="1:16" s="312" customFormat="1" ht="26.25" customHeight="1">
      <c r="A7" s="792"/>
      <c r="B7" s="320"/>
      <c r="C7" s="321" t="s">
        <v>18</v>
      </c>
      <c r="D7" s="322" t="s">
        <v>19</v>
      </c>
      <c r="E7" s="323" t="s">
        <v>20</v>
      </c>
      <c r="F7" s="323" t="s">
        <v>21</v>
      </c>
      <c r="G7" s="323" t="s">
        <v>22</v>
      </c>
      <c r="H7" s="324" t="s">
        <v>23</v>
      </c>
      <c r="I7" s="323" t="s">
        <v>24</v>
      </c>
      <c r="J7" s="323" t="s">
        <v>25</v>
      </c>
      <c r="K7" s="323" t="s">
        <v>26</v>
      </c>
      <c r="L7" s="324" t="s">
        <v>27</v>
      </c>
      <c r="M7" s="323" t="s">
        <v>28</v>
      </c>
      <c r="N7" s="323" t="s">
        <v>29</v>
      </c>
      <c r="O7" s="323" t="s">
        <v>30</v>
      </c>
      <c r="P7" s="324" t="s">
        <v>31</v>
      </c>
    </row>
    <row r="8" spans="1:16" ht="26.1" customHeight="1">
      <c r="A8" s="325">
        <v>1</v>
      </c>
      <c r="B8" s="326" t="str">
        <f>Orçamento!A11</f>
        <v>1. Mão-de-obra</v>
      </c>
      <c r="C8" s="327">
        <f>E8*12</f>
        <v>406513.14575523068</v>
      </c>
      <c r="D8" s="328">
        <f>C8/$C$15</f>
        <v>0.23691160287574944</v>
      </c>
      <c r="E8" s="329">
        <f>Orçamento!E11</f>
        <v>33876.095479602554</v>
      </c>
      <c r="F8" s="329">
        <f>E8</f>
        <v>33876.095479602554</v>
      </c>
      <c r="G8" s="329">
        <f>E8</f>
        <v>33876.095479602554</v>
      </c>
      <c r="H8" s="330">
        <f>E8</f>
        <v>33876.095479602554</v>
      </c>
      <c r="I8" s="329">
        <f>E8</f>
        <v>33876.095479602554</v>
      </c>
      <c r="J8" s="329">
        <f>E8</f>
        <v>33876.095479602554</v>
      </c>
      <c r="K8" s="329">
        <f>E8</f>
        <v>33876.095479602554</v>
      </c>
      <c r="L8" s="330">
        <f>E8</f>
        <v>33876.095479602554</v>
      </c>
      <c r="M8" s="329">
        <f>E8</f>
        <v>33876.095479602554</v>
      </c>
      <c r="N8" s="329">
        <f>E8</f>
        <v>33876.095479602554</v>
      </c>
      <c r="O8" s="329">
        <f>E8</f>
        <v>33876.095479602554</v>
      </c>
      <c r="P8" s="330">
        <f>E8</f>
        <v>33876.095479602554</v>
      </c>
    </row>
    <row r="9" spans="1:16" ht="26.1" customHeight="1">
      <c r="A9" s="325">
        <v>2</v>
      </c>
      <c r="B9" s="326" t="str">
        <f>Orçamento!A19</f>
        <v>2. Uniformes e Equipamentos de Proteção Individual</v>
      </c>
      <c r="C9" s="327">
        <f t="shared" ref="C9:C14" si="0">E9*12</f>
        <v>16419.179678799999</v>
      </c>
      <c r="D9" s="328">
        <f t="shared" ref="D9:D14" si="1">C9/$C$15</f>
        <v>9.5689259159939203E-3</v>
      </c>
      <c r="E9" s="329">
        <f>Orçamento!E19</f>
        <v>1368.2649732333334</v>
      </c>
      <c r="F9" s="329">
        <f t="shared" ref="F9:F14" si="2">E9</f>
        <v>1368.2649732333334</v>
      </c>
      <c r="G9" s="329">
        <f t="shared" ref="G9:G14" si="3">E9</f>
        <v>1368.2649732333334</v>
      </c>
      <c r="H9" s="330">
        <f t="shared" ref="H9:H14" si="4">E9</f>
        <v>1368.2649732333334</v>
      </c>
      <c r="I9" s="329">
        <f t="shared" ref="I9:I14" si="5">E9</f>
        <v>1368.2649732333334</v>
      </c>
      <c r="J9" s="329">
        <f t="shared" ref="J9:J14" si="6">E9</f>
        <v>1368.2649732333334</v>
      </c>
      <c r="K9" s="329">
        <f t="shared" ref="K9:K14" si="7">E9</f>
        <v>1368.2649732333334</v>
      </c>
      <c r="L9" s="330">
        <f t="shared" ref="L9:L14" si="8">E9</f>
        <v>1368.2649732333334</v>
      </c>
      <c r="M9" s="329">
        <f t="shared" ref="M9:M14" si="9">E9</f>
        <v>1368.2649732333334</v>
      </c>
      <c r="N9" s="329">
        <f t="shared" ref="N9:N14" si="10">E9</f>
        <v>1368.2649732333334</v>
      </c>
      <c r="O9" s="329">
        <f t="shared" ref="O9:O14" si="11">E9</f>
        <v>1368.2649732333334</v>
      </c>
      <c r="P9" s="330">
        <f t="shared" ref="P9:P14" si="12">E9</f>
        <v>1368.2649732333334</v>
      </c>
    </row>
    <row r="10" spans="1:16" ht="26.1" customHeight="1">
      <c r="A10" s="325">
        <v>3</v>
      </c>
      <c r="B10" s="326" t="str">
        <f>Orçamento!A20</f>
        <v>3. Veículos e Equipamentos</v>
      </c>
      <c r="C10" s="327">
        <f t="shared" si="0"/>
        <v>761137.15401821001</v>
      </c>
      <c r="D10" s="328">
        <f t="shared" si="1"/>
        <v>0.44358275999102809</v>
      </c>
      <c r="E10" s="329">
        <f>Orçamento!E20</f>
        <v>63428.096168184173</v>
      </c>
      <c r="F10" s="329">
        <f t="shared" si="2"/>
        <v>63428.096168184173</v>
      </c>
      <c r="G10" s="329">
        <f t="shared" si="3"/>
        <v>63428.096168184173</v>
      </c>
      <c r="H10" s="330">
        <f t="shared" si="4"/>
        <v>63428.096168184173</v>
      </c>
      <c r="I10" s="329">
        <f t="shared" si="5"/>
        <v>63428.096168184173</v>
      </c>
      <c r="J10" s="329">
        <f t="shared" si="6"/>
        <v>63428.096168184173</v>
      </c>
      <c r="K10" s="329">
        <f t="shared" si="7"/>
        <v>63428.096168184173</v>
      </c>
      <c r="L10" s="330">
        <f t="shared" si="8"/>
        <v>63428.096168184173</v>
      </c>
      <c r="M10" s="329">
        <f t="shared" si="9"/>
        <v>63428.096168184173</v>
      </c>
      <c r="N10" s="329">
        <f t="shared" si="10"/>
        <v>63428.096168184173</v>
      </c>
      <c r="O10" s="329">
        <f t="shared" si="11"/>
        <v>63428.096168184173</v>
      </c>
      <c r="P10" s="330">
        <f t="shared" si="12"/>
        <v>63428.096168184173</v>
      </c>
    </row>
    <row r="11" spans="1:16" s="313" customFormat="1" ht="24.95" customHeight="1">
      <c r="A11" s="325">
        <v>4</v>
      </c>
      <c r="B11" s="326" t="str">
        <f>Orçamento!A45</f>
        <v>4. Ferramentas e Materiais de Consumo</v>
      </c>
      <c r="C11" s="327">
        <f t="shared" si="0"/>
        <v>946.53802957835217</v>
      </c>
      <c r="D11" s="328">
        <f t="shared" si="1"/>
        <v>5.5163244808147886E-4</v>
      </c>
      <c r="E11" s="329">
        <f>Orçamento!E45</f>
        <v>78.878169131529347</v>
      </c>
      <c r="F11" s="329">
        <f t="shared" si="2"/>
        <v>78.878169131529347</v>
      </c>
      <c r="G11" s="329">
        <f t="shared" si="3"/>
        <v>78.878169131529347</v>
      </c>
      <c r="H11" s="330">
        <f t="shared" si="4"/>
        <v>78.878169131529347</v>
      </c>
      <c r="I11" s="329">
        <f t="shared" si="5"/>
        <v>78.878169131529347</v>
      </c>
      <c r="J11" s="329">
        <f t="shared" si="6"/>
        <v>78.878169131529347</v>
      </c>
      <c r="K11" s="329">
        <f t="shared" si="7"/>
        <v>78.878169131529347</v>
      </c>
      <c r="L11" s="330">
        <f t="shared" si="8"/>
        <v>78.878169131529347</v>
      </c>
      <c r="M11" s="329">
        <f t="shared" si="9"/>
        <v>78.878169131529347</v>
      </c>
      <c r="N11" s="329">
        <f t="shared" si="10"/>
        <v>78.878169131529347</v>
      </c>
      <c r="O11" s="329">
        <f t="shared" si="11"/>
        <v>78.878169131529347</v>
      </c>
      <c r="P11" s="330">
        <f t="shared" si="12"/>
        <v>78.878169131529347</v>
      </c>
    </row>
    <row r="12" spans="1:16" s="312" customFormat="1" ht="26.1" customHeight="1">
      <c r="A12" s="325">
        <v>5</v>
      </c>
      <c r="B12" s="326" t="str">
        <f>Orçamento!A46</f>
        <v>5. Monitoramento da Frota</v>
      </c>
      <c r="C12" s="327">
        <f t="shared" si="0"/>
        <v>2907.16858172715</v>
      </c>
      <c r="D12" s="328">
        <f t="shared" si="1"/>
        <v>1.6942673950861677E-3</v>
      </c>
      <c r="E12" s="329">
        <f>Orçamento!E46</f>
        <v>242.26404847726249</v>
      </c>
      <c r="F12" s="329">
        <f t="shared" si="2"/>
        <v>242.26404847726249</v>
      </c>
      <c r="G12" s="329">
        <f t="shared" si="3"/>
        <v>242.26404847726249</v>
      </c>
      <c r="H12" s="330">
        <f t="shared" si="4"/>
        <v>242.26404847726249</v>
      </c>
      <c r="I12" s="329">
        <f t="shared" si="5"/>
        <v>242.26404847726249</v>
      </c>
      <c r="J12" s="329">
        <f t="shared" si="6"/>
        <v>242.26404847726249</v>
      </c>
      <c r="K12" s="329">
        <f t="shared" si="7"/>
        <v>242.26404847726249</v>
      </c>
      <c r="L12" s="330">
        <f t="shared" si="8"/>
        <v>242.26404847726249</v>
      </c>
      <c r="M12" s="329">
        <f t="shared" si="9"/>
        <v>242.26404847726249</v>
      </c>
      <c r="N12" s="329">
        <f t="shared" si="10"/>
        <v>242.26404847726249</v>
      </c>
      <c r="O12" s="329">
        <f t="shared" si="11"/>
        <v>242.26404847726249</v>
      </c>
      <c r="P12" s="330">
        <f t="shared" si="12"/>
        <v>242.26404847726249</v>
      </c>
    </row>
    <row r="13" spans="1:16" ht="26.1" customHeight="1">
      <c r="A13" s="325">
        <v>6</v>
      </c>
      <c r="B13" s="326" t="str">
        <f>Orçamento!A47</f>
        <v>6. Deposição no Aterro</v>
      </c>
      <c r="C13" s="327">
        <f t="shared" si="0"/>
        <v>214825.60000000003</v>
      </c>
      <c r="D13" s="328">
        <f t="shared" si="1"/>
        <v>0.1251981092522633</v>
      </c>
      <c r="E13" s="329">
        <f>Orçamento!E47</f>
        <v>17902.133333333335</v>
      </c>
      <c r="F13" s="329">
        <f t="shared" si="2"/>
        <v>17902.133333333335</v>
      </c>
      <c r="G13" s="329">
        <f t="shared" si="3"/>
        <v>17902.133333333335</v>
      </c>
      <c r="H13" s="330">
        <f t="shared" si="4"/>
        <v>17902.133333333335</v>
      </c>
      <c r="I13" s="329">
        <f t="shared" si="5"/>
        <v>17902.133333333335</v>
      </c>
      <c r="J13" s="329">
        <f t="shared" si="6"/>
        <v>17902.133333333335</v>
      </c>
      <c r="K13" s="329">
        <f t="shared" si="7"/>
        <v>17902.133333333335</v>
      </c>
      <c r="L13" s="330">
        <f t="shared" si="8"/>
        <v>17902.133333333335</v>
      </c>
      <c r="M13" s="329">
        <f t="shared" si="9"/>
        <v>17902.133333333335</v>
      </c>
      <c r="N13" s="329">
        <f t="shared" si="10"/>
        <v>17902.133333333335</v>
      </c>
      <c r="O13" s="329">
        <f t="shared" si="11"/>
        <v>17902.133333333335</v>
      </c>
      <c r="P13" s="330">
        <f t="shared" si="12"/>
        <v>17902.133333333335</v>
      </c>
    </row>
    <row r="14" spans="1:16" ht="26.1" customHeight="1">
      <c r="A14" s="325">
        <v>7</v>
      </c>
      <c r="B14" s="326" t="str">
        <f>Orçamento!A48</f>
        <v>7. Benefícios e Despesas Indiretas - BDI</v>
      </c>
      <c r="C14" s="327">
        <f t="shared" si="0"/>
        <v>313136.55184635072</v>
      </c>
      <c r="D14" s="328">
        <f t="shared" si="1"/>
        <v>0.18249270212179752</v>
      </c>
      <c r="E14" s="329">
        <f>Orçamento!E48</f>
        <v>26094.71265386256</v>
      </c>
      <c r="F14" s="329">
        <f t="shared" si="2"/>
        <v>26094.71265386256</v>
      </c>
      <c r="G14" s="329">
        <f t="shared" si="3"/>
        <v>26094.71265386256</v>
      </c>
      <c r="H14" s="330">
        <f t="shared" si="4"/>
        <v>26094.71265386256</v>
      </c>
      <c r="I14" s="329">
        <f t="shared" si="5"/>
        <v>26094.71265386256</v>
      </c>
      <c r="J14" s="329">
        <f t="shared" si="6"/>
        <v>26094.71265386256</v>
      </c>
      <c r="K14" s="329">
        <f t="shared" si="7"/>
        <v>26094.71265386256</v>
      </c>
      <c r="L14" s="330">
        <f t="shared" si="8"/>
        <v>26094.71265386256</v>
      </c>
      <c r="M14" s="329">
        <f t="shared" si="9"/>
        <v>26094.71265386256</v>
      </c>
      <c r="N14" s="329">
        <f t="shared" si="10"/>
        <v>26094.71265386256</v>
      </c>
      <c r="O14" s="329">
        <f t="shared" si="11"/>
        <v>26094.71265386256</v>
      </c>
      <c r="P14" s="330">
        <f t="shared" si="12"/>
        <v>26094.71265386256</v>
      </c>
    </row>
    <row r="15" spans="1:16" s="311" customFormat="1" ht="26.1" customHeight="1">
      <c r="A15" s="331"/>
      <c r="B15" s="332" t="str">
        <f>[1]Orçamento!A73</f>
        <v>TOTAL GERAL DO ORÇAMENTO:</v>
      </c>
      <c r="C15" s="333">
        <f>SUM(C8:C14)</f>
        <v>1715885.3379098971</v>
      </c>
      <c r="D15" s="334">
        <f>SUM(D8:D14)</f>
        <v>0.99999999999999978</v>
      </c>
      <c r="E15" s="335">
        <f>SUM(E8:E14)</f>
        <v>142990.44482582473</v>
      </c>
      <c r="F15" s="335">
        <f t="shared" ref="F15:P15" si="13">SUM(F8:F14)</f>
        <v>142990.44482582473</v>
      </c>
      <c r="G15" s="335">
        <f t="shared" si="13"/>
        <v>142990.44482582473</v>
      </c>
      <c r="H15" s="335">
        <f t="shared" si="13"/>
        <v>142990.44482582473</v>
      </c>
      <c r="I15" s="336">
        <f t="shared" si="13"/>
        <v>142990.44482582473</v>
      </c>
      <c r="J15" s="336">
        <f t="shared" si="13"/>
        <v>142990.44482582473</v>
      </c>
      <c r="K15" s="336">
        <f t="shared" si="13"/>
        <v>142990.44482582473</v>
      </c>
      <c r="L15" s="336">
        <f t="shared" si="13"/>
        <v>142990.44482582473</v>
      </c>
      <c r="M15" s="336">
        <f t="shared" si="13"/>
        <v>142990.44482582473</v>
      </c>
      <c r="N15" s="336">
        <f t="shared" si="13"/>
        <v>142990.44482582473</v>
      </c>
      <c r="O15" s="336">
        <f t="shared" si="13"/>
        <v>142990.44482582473</v>
      </c>
      <c r="P15" s="336">
        <f t="shared" si="13"/>
        <v>142990.44482582473</v>
      </c>
    </row>
  </sheetData>
  <mergeCells count="6">
    <mergeCell ref="A1:P2"/>
    <mergeCell ref="A3:P3"/>
    <mergeCell ref="A4:P4"/>
    <mergeCell ref="A5:P5"/>
    <mergeCell ref="E6:P6"/>
    <mergeCell ref="A6:A7"/>
  </mergeCells>
  <pageMargins left="0.90551181102362199" right="0.511811023622047" top="2.51968503937008" bottom="0.74803149606299202" header="0.31496062992126" footer="0.31496062992126"/>
  <pageSetup paperSize="9" scale="50" orientation="landscape" r:id="rId1"/>
  <headerFooter alignWithMargins="0"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85"/>
  <sheetViews>
    <sheetView view="pageBreakPreview" topLeftCell="A220" zoomScaleNormal="100" workbookViewId="0">
      <selection activeCell="H140" sqref="H140"/>
    </sheetView>
  </sheetViews>
  <sheetFormatPr defaultColWidth="9.140625" defaultRowHeight="15.75"/>
  <cols>
    <col min="1" max="1" width="58.5703125" style="407" customWidth="1"/>
    <col min="2" max="2" width="19.85546875" style="407" customWidth="1"/>
    <col min="3" max="3" width="14.7109375" style="407" customWidth="1"/>
    <col min="4" max="4" width="14.7109375" style="357" customWidth="1"/>
    <col min="5" max="5" width="18.140625" style="357" customWidth="1"/>
    <col min="6" max="6" width="13.28515625" style="357" customWidth="1"/>
    <col min="7" max="7" width="22.85546875" style="122" customWidth="1"/>
    <col min="8" max="8" width="18.85546875" style="122" customWidth="1"/>
    <col min="9" max="9" width="13.42578125" style="122" customWidth="1"/>
    <col min="10" max="10" width="16.42578125" style="122" customWidth="1"/>
    <col min="11" max="16384" width="9.140625" style="122"/>
  </cols>
  <sheetData>
    <row r="1" spans="1:7" hidden="1">
      <c r="A1" s="793" t="s">
        <v>0</v>
      </c>
      <c r="B1" s="793"/>
      <c r="C1" s="793"/>
      <c r="D1" s="793"/>
      <c r="E1" s="793"/>
      <c r="F1" s="793"/>
    </row>
    <row r="2" spans="1:7" ht="15.6" hidden="1" customHeight="1">
      <c r="A2" s="794" t="s">
        <v>421</v>
      </c>
      <c r="B2" s="794"/>
      <c r="C2" s="794"/>
      <c r="D2" s="794"/>
      <c r="E2" s="794"/>
      <c r="F2" s="794"/>
    </row>
    <row r="3" spans="1:7" ht="15.6" hidden="1" customHeight="1">
      <c r="A3" s="795" t="s">
        <v>422</v>
      </c>
      <c r="B3" s="795"/>
      <c r="C3" s="795"/>
      <c r="D3" s="795"/>
      <c r="E3" s="795"/>
      <c r="F3" s="795"/>
    </row>
    <row r="4" spans="1:7" ht="15.6" customHeight="1">
      <c r="A4" s="796" t="s">
        <v>2</v>
      </c>
      <c r="B4" s="797"/>
      <c r="C4" s="797"/>
      <c r="D4" s="797"/>
      <c r="E4" s="797"/>
      <c r="F4" s="798"/>
    </row>
    <row r="5" spans="1:7" ht="15.6" customHeight="1">
      <c r="A5" s="799" t="s">
        <v>3</v>
      </c>
      <c r="B5" s="800"/>
      <c r="C5" s="800"/>
      <c r="D5" s="800"/>
      <c r="E5" s="800"/>
      <c r="F5" s="801"/>
    </row>
    <row r="6" spans="1:7">
      <c r="A6" s="802" t="s">
        <v>34</v>
      </c>
      <c r="B6" s="803"/>
      <c r="C6" s="803"/>
      <c r="D6" s="803"/>
      <c r="E6" s="803"/>
      <c r="F6" s="804"/>
    </row>
    <row r="7" spans="1:7" ht="21.75" customHeight="1" thickBot="1">
      <c r="A7" s="805" t="s">
        <v>5</v>
      </c>
      <c r="B7" s="806"/>
      <c r="C7" s="806"/>
      <c r="D7" s="806"/>
      <c r="E7" s="806"/>
      <c r="F7" s="807"/>
    </row>
    <row r="8" spans="1:7" ht="30.75" customHeight="1">
      <c r="A8" s="808" t="s">
        <v>445</v>
      </c>
      <c r="B8" s="809"/>
      <c r="C8" s="809"/>
      <c r="D8" s="809"/>
      <c r="E8" s="809"/>
      <c r="F8" s="809"/>
    </row>
    <row r="9" spans="1:7" ht="27" customHeight="1">
      <c r="A9" s="810" t="s">
        <v>457</v>
      </c>
      <c r="B9" s="811"/>
      <c r="C9" s="811"/>
      <c r="D9" s="811"/>
      <c r="E9" s="811"/>
      <c r="F9" s="811"/>
    </row>
    <row r="10" spans="1:7" ht="21.75" customHeight="1">
      <c r="A10" s="124" t="s">
        <v>448</v>
      </c>
      <c r="B10" s="747" t="s">
        <v>447</v>
      </c>
      <c r="C10" s="500"/>
      <c r="D10" s="500"/>
      <c r="E10" s="500"/>
      <c r="F10" s="500"/>
    </row>
    <row r="11" spans="1:7" ht="21.75" customHeight="1">
      <c r="A11" s="501" t="s">
        <v>35</v>
      </c>
      <c r="B11" s="747" t="s">
        <v>447</v>
      </c>
      <c r="C11" s="500"/>
      <c r="D11" s="500"/>
      <c r="E11" s="500"/>
      <c r="F11" s="500"/>
      <c r="G11" s="306"/>
    </row>
    <row r="12" spans="1:7" ht="21.75" customHeight="1">
      <c r="A12" s="812" t="s">
        <v>449</v>
      </c>
      <c r="B12" s="795"/>
      <c r="C12" s="795"/>
      <c r="D12" s="795"/>
      <c r="E12" s="795"/>
      <c r="F12" s="795"/>
      <c r="G12" s="306"/>
    </row>
    <row r="13" spans="1:7" ht="21.75" customHeight="1">
      <c r="A13" s="813" t="s">
        <v>450</v>
      </c>
      <c r="B13" s="795"/>
      <c r="C13" s="795"/>
      <c r="D13" s="795"/>
      <c r="E13" s="795"/>
      <c r="F13" s="795"/>
      <c r="G13" s="306"/>
    </row>
    <row r="14" spans="1:7" ht="21.75" customHeight="1">
      <c r="A14" s="813" t="s">
        <v>451</v>
      </c>
      <c r="B14" s="795"/>
      <c r="C14" s="795"/>
      <c r="D14" s="795"/>
      <c r="E14" s="795"/>
      <c r="F14" s="795"/>
      <c r="G14" s="306"/>
    </row>
    <row r="15" spans="1:7" ht="10.9" customHeight="1" thickBot="1">
      <c r="A15" s="502"/>
      <c r="B15" s="500"/>
      <c r="C15" s="500"/>
      <c r="D15" s="503"/>
      <c r="E15" s="503"/>
      <c r="F15" s="504"/>
      <c r="G15" s="306"/>
    </row>
    <row r="16" spans="1:7" ht="15.75" customHeight="1" thickBot="1">
      <c r="A16" s="814" t="s">
        <v>6</v>
      </c>
      <c r="B16" s="815"/>
      <c r="C16" s="815"/>
      <c r="D16" s="815"/>
      <c r="E16" s="815"/>
      <c r="F16" s="816"/>
      <c r="G16" s="306"/>
    </row>
    <row r="17" spans="1:8" ht="15.75" customHeight="1">
      <c r="A17" s="386" t="s">
        <v>7</v>
      </c>
      <c r="B17" s="387"/>
      <c r="C17" s="387"/>
      <c r="D17" s="388"/>
      <c r="E17" s="389" t="s">
        <v>8</v>
      </c>
      <c r="F17" s="390" t="s">
        <v>9</v>
      </c>
    </row>
    <row r="18" spans="1:8" s="117" customFormat="1" ht="15.75" customHeight="1">
      <c r="A18" s="505" t="str">
        <f>A51</f>
        <v>1. Mão-de-obra</v>
      </c>
      <c r="B18" s="506"/>
      <c r="C18" s="393"/>
      <c r="D18" s="393"/>
      <c r="E18" s="394">
        <f>SUM(E19:E23)</f>
        <v>8264.4133144616098</v>
      </c>
      <c r="F18" s="395">
        <f t="shared" ref="F18:F35" si="0">IFERROR(E18/$E$36,0)</f>
        <v>0.22704810993902275</v>
      </c>
    </row>
    <row r="19" spans="1:8" ht="15.75" customHeight="1">
      <c r="A19" s="508" t="str">
        <f>A53</f>
        <v>1.1. Coletor Turno Dia</v>
      </c>
      <c r="B19" s="509"/>
      <c r="C19" s="398"/>
      <c r="D19" s="398"/>
      <c r="E19" s="399">
        <f>F63</f>
        <v>4552.2673604236097</v>
      </c>
      <c r="F19" s="400">
        <f>IFERROR(E19/$E$36,0)</f>
        <v>0.12506437671899254</v>
      </c>
      <c r="H19" s="304"/>
    </row>
    <row r="20" spans="1:8" ht="15.75" customHeight="1">
      <c r="A20" s="508" t="str">
        <f>A65</f>
        <v>1.2. Motorista Turno do Dia</v>
      </c>
      <c r="B20" s="509"/>
      <c r="C20" s="398"/>
      <c r="D20" s="398"/>
      <c r="E20" s="399">
        <f>F75</f>
        <v>2564.2772955764608</v>
      </c>
      <c r="F20" s="400">
        <f>IFERROR(E20/$E$36,0)</f>
        <v>7.0448353823421142E-2</v>
      </c>
    </row>
    <row r="21" spans="1:8" ht="15.75" customHeight="1">
      <c r="A21" s="508" t="str">
        <f>A77</f>
        <v>1.5. Vale Transporte</v>
      </c>
      <c r="B21" s="509"/>
      <c r="C21" s="398"/>
      <c r="D21" s="398"/>
      <c r="E21" s="399">
        <f>F83</f>
        <v>155.83513846153852</v>
      </c>
      <c r="F21" s="400">
        <f t="shared" si="0"/>
        <v>4.2812565518552132E-3</v>
      </c>
    </row>
    <row r="22" spans="1:8" ht="15.75" customHeight="1">
      <c r="A22" s="508" t="str">
        <f>A85</f>
        <v>1.6. Vale-refeição (diário)</v>
      </c>
      <c r="B22" s="509"/>
      <c r="C22" s="398"/>
      <c r="D22" s="398"/>
      <c r="E22" s="399">
        <f>F90</f>
        <v>282</v>
      </c>
      <c r="F22" s="400">
        <f t="shared" si="0"/>
        <v>7.7473820060239233E-3</v>
      </c>
    </row>
    <row r="23" spans="1:8" ht="15.75" customHeight="1">
      <c r="A23" s="508" t="str">
        <f>A92</f>
        <v>1.7. Auxílio Alimentação (mensal)</v>
      </c>
      <c r="B23" s="509"/>
      <c r="C23" s="398"/>
      <c r="D23" s="398"/>
      <c r="E23" s="399">
        <f>F96</f>
        <v>710.03351999999984</v>
      </c>
      <c r="F23" s="400">
        <f t="shared" si="0"/>
        <v>1.9506740838729882E-2</v>
      </c>
    </row>
    <row r="24" spans="1:8" s="117" customFormat="1" ht="15.75" customHeight="1">
      <c r="A24" s="817" t="str">
        <f>A100</f>
        <v>2. Uniformes e Equipamentos de Proteção Individual</v>
      </c>
      <c r="B24" s="818"/>
      <c r="C24" s="818"/>
      <c r="D24" s="393"/>
      <c r="E24" s="394">
        <f>+F132</f>
        <v>333.14664397777779</v>
      </c>
      <c r="F24" s="395">
        <f t="shared" si="0"/>
        <v>9.1525330316336671E-3</v>
      </c>
    </row>
    <row r="25" spans="1:8" s="117" customFormat="1" ht="15.75" customHeight="1">
      <c r="A25" s="391" t="str">
        <f>A134</f>
        <v>3. Veículos e Equipamentos</v>
      </c>
      <c r="B25" s="392"/>
      <c r="C25" s="393"/>
      <c r="D25" s="393"/>
      <c r="E25" s="394">
        <f>F211</f>
        <v>20132.51345592305</v>
      </c>
      <c r="F25" s="395">
        <f t="shared" si="0"/>
        <v>0.55310025703706656</v>
      </c>
    </row>
    <row r="26" spans="1:8" ht="15.75" customHeight="1">
      <c r="A26" s="396" t="str">
        <f>A136</f>
        <v>3.1. Veículo Coletor Compactador 15 m³(mínimo)</v>
      </c>
      <c r="B26" s="397"/>
      <c r="C26" s="398"/>
      <c r="D26" s="398"/>
      <c r="E26" s="399">
        <f>SUM(E27:E32)</f>
        <v>20132.51345592305</v>
      </c>
      <c r="F26" s="400">
        <f>IFERROR(E26/$E$36,0)</f>
        <v>0.55310025703706656</v>
      </c>
    </row>
    <row r="27" spans="1:8" ht="15.75" customHeight="1">
      <c r="A27" s="396" t="str">
        <f>A138</f>
        <v>3.1.1. Depreciação</v>
      </c>
      <c r="B27" s="397"/>
      <c r="C27" s="398"/>
      <c r="D27" s="398"/>
      <c r="E27" s="399">
        <f>F152</f>
        <v>1725.043016666667</v>
      </c>
      <c r="F27" s="400">
        <f t="shared" si="0"/>
        <v>4.7392082365037461E-2</v>
      </c>
    </row>
    <row r="28" spans="1:8" ht="15.75" customHeight="1">
      <c r="A28" s="396" t="str">
        <f>A154</f>
        <v>3.1.2. Remuneração do Capital</v>
      </c>
      <c r="B28" s="397"/>
      <c r="C28" s="398"/>
      <c r="D28" s="398"/>
      <c r="E28" s="399">
        <f>F168</f>
        <v>2618.4395661666667</v>
      </c>
      <c r="F28" s="400">
        <f t="shared" si="0"/>
        <v>7.1936353116243704E-2</v>
      </c>
    </row>
    <row r="29" spans="1:8" ht="15.75" customHeight="1">
      <c r="A29" s="396" t="str">
        <f>A170</f>
        <v>3.1.3. Impostos e Seguros</v>
      </c>
      <c r="B29" s="397"/>
      <c r="C29" s="398"/>
      <c r="D29" s="398"/>
      <c r="E29" s="399">
        <f>F176</f>
        <v>786.40536449999991</v>
      </c>
      <c r="F29" s="400">
        <f t="shared" si="0"/>
        <v>2.1604903441021221E-2</v>
      </c>
    </row>
    <row r="30" spans="1:8" ht="15.75" customHeight="1">
      <c r="A30" s="396" t="str">
        <f>A178</f>
        <v>3.1.4. Consumos</v>
      </c>
      <c r="B30" s="397"/>
      <c r="C30" s="398"/>
      <c r="D30" s="398"/>
      <c r="E30" s="399">
        <f>F194</f>
        <v>11345.546</v>
      </c>
      <c r="F30" s="400">
        <f t="shared" si="0"/>
        <v>0.31169602457062662</v>
      </c>
    </row>
    <row r="31" spans="1:8" ht="15.75" customHeight="1">
      <c r="A31" s="396" t="str">
        <f>A196</f>
        <v>3.1.5. Manutenção</v>
      </c>
      <c r="B31" s="397"/>
      <c r="C31" s="398"/>
      <c r="D31" s="398"/>
      <c r="E31" s="399">
        <f>F199</f>
        <v>2633.096</v>
      </c>
      <c r="F31" s="400">
        <f>IFERROR(E31/$E$36,0)</f>
        <v>7.2339009115367267E-2</v>
      </c>
    </row>
    <row r="32" spans="1:8" ht="15.75" customHeight="1">
      <c r="A32" s="396" t="str">
        <f>A201</f>
        <v>3.1.6. Pneus</v>
      </c>
      <c r="B32" s="397"/>
      <c r="C32" s="398"/>
      <c r="D32" s="398"/>
      <c r="E32" s="399">
        <f>F208</f>
        <v>1023.9835085897143</v>
      </c>
      <c r="F32" s="400">
        <f t="shared" si="0"/>
        <v>2.8131884428770203E-2</v>
      </c>
    </row>
    <row r="33" spans="1:7" s="117" customFormat="1" ht="15.75" customHeight="1">
      <c r="A33" s="391" t="str">
        <f>A213</f>
        <v>4. Ferramentas e Materiais de Consumo</v>
      </c>
      <c r="B33" s="392"/>
      <c r="C33" s="393"/>
      <c r="D33" s="393"/>
      <c r="E33" s="394">
        <f>F221</f>
        <v>23.505833333333314</v>
      </c>
      <c r="F33" s="395">
        <f t="shared" si="0"/>
        <v>6.4577542625270871E-4</v>
      </c>
    </row>
    <row r="34" spans="1:7" s="117" customFormat="1" ht="15.75" customHeight="1">
      <c r="A34" s="391" t="str">
        <f>A223</f>
        <v>5. Monitoramento da Frota</v>
      </c>
      <c r="B34" s="392"/>
      <c r="C34" s="393"/>
      <c r="D34" s="393"/>
      <c r="E34" s="394">
        <f>F232</f>
        <v>52.524499999999996</v>
      </c>
      <c r="F34" s="395">
        <f t="shared" si="0"/>
        <v>1.4430048445936295E-3</v>
      </c>
    </row>
    <row r="35" spans="1:7" s="117" customFormat="1" ht="15.75" customHeight="1" thickBot="1">
      <c r="A35" s="391" t="str">
        <f>A236</f>
        <v>6. Benefícios e Despesas Indiretas - BDI</v>
      </c>
      <c r="B35" s="392"/>
      <c r="C35" s="393"/>
      <c r="D35" s="393"/>
      <c r="E35" s="401">
        <f>F242</f>
        <v>7593.2889478926045</v>
      </c>
      <c r="F35" s="395">
        <f t="shared" si="0"/>
        <v>0.20861031972143082</v>
      </c>
    </row>
    <row r="36" spans="1:7" ht="15.75" customHeight="1" thickBot="1">
      <c r="A36" s="402" t="s">
        <v>36</v>
      </c>
      <c r="B36" s="403"/>
      <c r="C36" s="404"/>
      <c r="D36" s="404"/>
      <c r="E36" s="405">
        <f>E18+E24+E25+E33+E34+E35</f>
        <v>36399.392695588373</v>
      </c>
      <c r="F36" s="406">
        <f>F18+F24+F25+F33+F34+F35</f>
        <v>1</v>
      </c>
      <c r="G36" s="156"/>
    </row>
    <row r="39" spans="1:7" ht="15" customHeight="1">
      <c r="A39" s="819" t="s">
        <v>37</v>
      </c>
      <c r="B39" s="820"/>
      <c r="C39" s="820"/>
      <c r="D39" s="820"/>
      <c r="E39" s="821"/>
    </row>
    <row r="40" spans="1:7" ht="15" customHeight="1">
      <c r="A40" s="822" t="s">
        <v>38</v>
      </c>
      <c r="B40" s="823"/>
      <c r="C40" s="823"/>
      <c r="D40" s="823"/>
      <c r="E40" s="510" t="s">
        <v>39</v>
      </c>
    </row>
    <row r="41" spans="1:7" ht="15" customHeight="1">
      <c r="A41" s="511" t="str">
        <f>+A53</f>
        <v>1.1. Coletor Turno Dia</v>
      </c>
      <c r="B41" s="410"/>
      <c r="C41" s="410"/>
      <c r="D41" s="411"/>
      <c r="E41" s="512">
        <f>C62</f>
        <v>2</v>
      </c>
    </row>
    <row r="42" spans="1:7" ht="15" customHeight="1">
      <c r="A42" s="511" t="str">
        <f>+A65</f>
        <v>1.2. Motorista Turno do Dia</v>
      </c>
      <c r="B42" s="410"/>
      <c r="C42" s="410"/>
      <c r="D42" s="411"/>
      <c r="E42" s="512">
        <f>C74</f>
        <v>1</v>
      </c>
    </row>
    <row r="43" spans="1:7" ht="15" customHeight="1">
      <c r="A43" s="513" t="s">
        <v>40</v>
      </c>
      <c r="B43" s="514"/>
      <c r="C43" s="514"/>
      <c r="D43" s="411"/>
      <c r="E43" s="515">
        <f>SUM(E41:E42)</f>
        <v>3</v>
      </c>
    </row>
    <row r="44" spans="1:7" ht="15" customHeight="1">
      <c r="A44" s="513"/>
      <c r="B44" s="514"/>
      <c r="C44" s="410"/>
      <c r="D44" s="410"/>
      <c r="E44" s="516"/>
    </row>
    <row r="45" spans="1:7" ht="15" customHeight="1">
      <c r="A45" s="824" t="s">
        <v>41</v>
      </c>
      <c r="B45" s="825"/>
      <c r="C45" s="825"/>
      <c r="D45" s="825"/>
      <c r="E45" s="510" t="s">
        <v>39</v>
      </c>
      <c r="F45" s="407"/>
    </row>
    <row r="46" spans="1:7" ht="15" customHeight="1" thickBot="1">
      <c r="A46" s="413" t="str">
        <f>+A136</f>
        <v>3.1. Veículo Coletor Compactador 15 m³(mínimo)</v>
      </c>
      <c r="B46" s="414"/>
      <c r="C46" s="414"/>
      <c r="D46" s="415"/>
      <c r="E46" s="416">
        <f>C151</f>
        <v>1</v>
      </c>
      <c r="F46" s="407"/>
    </row>
    <row r="47" spans="1:7" ht="15" customHeight="1">
      <c r="A47" s="378"/>
      <c r="B47" s="378"/>
      <c r="C47" s="378"/>
      <c r="D47" s="407"/>
      <c r="E47" s="517"/>
      <c r="F47" s="407"/>
    </row>
    <row r="48" spans="1:7" ht="16.5" thickBot="1">
      <c r="A48" s="378"/>
      <c r="B48" s="378"/>
      <c r="C48" s="378"/>
      <c r="D48" s="407"/>
      <c r="E48" s="417"/>
      <c r="F48" s="407"/>
    </row>
    <row r="49" spans="1:10" s="117" customFormat="1" ht="15.75" customHeight="1" thickBot="1">
      <c r="A49" s="418" t="s">
        <v>42</v>
      </c>
      <c r="B49" s="419">
        <v>0.48859999999999998</v>
      </c>
      <c r="C49" s="178" t="s">
        <v>443</v>
      </c>
      <c r="D49" s="408"/>
      <c r="E49" s="420"/>
      <c r="F49" s="408"/>
    </row>
    <row r="50" spans="1:10" ht="15.75" customHeight="1">
      <c r="A50" s="826"/>
      <c r="B50" s="826"/>
      <c r="C50" s="826"/>
      <c r="D50" s="826"/>
      <c r="E50" s="826"/>
      <c r="F50" s="826"/>
    </row>
    <row r="51" spans="1:10" ht="13.15" customHeight="1">
      <c r="A51" s="827" t="s">
        <v>43</v>
      </c>
      <c r="B51" s="827"/>
      <c r="C51" s="827"/>
      <c r="D51" s="827"/>
      <c r="E51" s="827"/>
      <c r="F51" s="827"/>
    </row>
    <row r="52" spans="1:10" ht="11.25" customHeight="1">
      <c r="A52" s="794"/>
      <c r="B52" s="794"/>
      <c r="C52" s="794"/>
      <c r="D52" s="794"/>
      <c r="E52" s="794"/>
      <c r="F52" s="794"/>
    </row>
    <row r="53" spans="1:10" ht="13.9" customHeight="1" thickBot="1">
      <c r="A53" s="828" t="s">
        <v>44</v>
      </c>
      <c r="B53" s="828"/>
      <c r="C53" s="828"/>
      <c r="D53" s="828"/>
      <c r="E53" s="828"/>
      <c r="F53" s="828"/>
    </row>
    <row r="54" spans="1:10" ht="13.9" customHeight="1" thickBot="1">
      <c r="A54" s="422" t="s">
        <v>45</v>
      </c>
      <c r="B54" s="423" t="s">
        <v>46</v>
      </c>
      <c r="C54" s="423" t="s">
        <v>39</v>
      </c>
      <c r="D54" s="424" t="s">
        <v>47</v>
      </c>
      <c r="E54" s="424" t="s">
        <v>48</v>
      </c>
      <c r="F54" s="425" t="s">
        <v>420</v>
      </c>
      <c r="J54" s="118"/>
    </row>
    <row r="55" spans="1:10" ht="13.15" customHeight="1">
      <c r="A55" s="360" t="s">
        <v>200</v>
      </c>
      <c r="B55" s="426" t="s">
        <v>50</v>
      </c>
      <c r="C55" s="426">
        <v>1</v>
      </c>
      <c r="D55" s="427">
        <v>2082.31</v>
      </c>
      <c r="E55" s="456">
        <f>C55*D55</f>
        <v>2082.31</v>
      </c>
      <c r="F55" s="519"/>
      <c r="G55" s="196"/>
      <c r="H55" s="197"/>
      <c r="I55" s="198"/>
      <c r="J55" s="198"/>
    </row>
    <row r="56" spans="1:10" ht="13.15" customHeight="1">
      <c r="A56" s="360" t="s">
        <v>201</v>
      </c>
      <c r="B56" s="426" t="s">
        <v>50</v>
      </c>
      <c r="C56" s="426">
        <v>1</v>
      </c>
      <c r="D56" s="427">
        <v>1621</v>
      </c>
      <c r="E56" s="456"/>
      <c r="F56" s="519"/>
      <c r="G56" s="196"/>
      <c r="H56" s="197"/>
      <c r="I56" s="198"/>
      <c r="J56" s="198"/>
    </row>
    <row r="57" spans="1:10" ht="13.15" customHeight="1">
      <c r="A57" s="380" t="s">
        <v>60</v>
      </c>
      <c r="B57" s="430"/>
      <c r="C57" s="520">
        <v>1</v>
      </c>
      <c r="D57" s="435"/>
      <c r="E57" s="435"/>
      <c r="F57" s="519"/>
      <c r="J57" s="305"/>
    </row>
    <row r="58" spans="1:10">
      <c r="A58" s="380" t="s">
        <v>52</v>
      </c>
      <c r="B58" s="430" t="s">
        <v>9</v>
      </c>
      <c r="C58" s="430">
        <v>40</v>
      </c>
      <c r="D58" s="432">
        <f>IF(C57=2,SUM(E55:E56),IF(C57=1,(SUM(E55:E56))*D56/D55,0))</f>
        <v>1621</v>
      </c>
      <c r="E58" s="435">
        <f>C58*D58/100</f>
        <v>648.4</v>
      </c>
      <c r="F58" s="519"/>
      <c r="J58" s="305"/>
    </row>
    <row r="59" spans="1:10">
      <c r="A59" s="829" t="s">
        <v>53</v>
      </c>
      <c r="B59" s="830"/>
      <c r="C59" s="830"/>
      <c r="D59" s="831"/>
      <c r="E59" s="521">
        <f>SUM(E55:E58)</f>
        <v>2730.71</v>
      </c>
      <c r="F59" s="519"/>
      <c r="J59" s="305"/>
    </row>
    <row r="60" spans="1:10">
      <c r="A60" s="380" t="s">
        <v>54</v>
      </c>
      <c r="B60" s="430" t="s">
        <v>9</v>
      </c>
      <c r="C60" s="437">
        <f>'2.Encargos Sociais'!$C$35*100</f>
        <v>70.595951999999997</v>
      </c>
      <c r="D60" s="435">
        <f>E59</f>
        <v>2730.71</v>
      </c>
      <c r="E60" s="435">
        <f>D60*C60/100</f>
        <v>1927.7707208591999</v>
      </c>
      <c r="F60" s="519"/>
      <c r="J60" s="305"/>
    </row>
    <row r="61" spans="1:10">
      <c r="A61" s="829" t="s">
        <v>55</v>
      </c>
      <c r="B61" s="832"/>
      <c r="C61" s="832"/>
      <c r="D61" s="833"/>
      <c r="E61" s="521">
        <f>E59+E60</f>
        <v>4658.4807208592001</v>
      </c>
      <c r="F61" s="519"/>
      <c r="J61" s="305"/>
    </row>
    <row r="62" spans="1:10">
      <c r="A62" s="522" t="s">
        <v>56</v>
      </c>
      <c r="B62" s="523" t="s">
        <v>57</v>
      </c>
      <c r="C62" s="524">
        <v>2</v>
      </c>
      <c r="D62" s="435">
        <f>E61</f>
        <v>4658.4807208592001</v>
      </c>
      <c r="E62" s="435">
        <f>C62*D62</f>
        <v>9316.9614417184002</v>
      </c>
      <c r="F62" s="519"/>
      <c r="J62" s="305"/>
    </row>
    <row r="63" spans="1:10" ht="13.9" customHeight="1" thickBot="1">
      <c r="A63" s="834" t="s">
        <v>420</v>
      </c>
      <c r="B63" s="835"/>
      <c r="C63" s="836"/>
      <c r="D63" s="525" t="s">
        <v>58</v>
      </c>
      <c r="E63" s="458">
        <f>$B$49</f>
        <v>0.48859999999999998</v>
      </c>
      <c r="F63" s="451">
        <f>E62*E63</f>
        <v>4552.2673604236097</v>
      </c>
      <c r="J63" s="305"/>
    </row>
    <row r="64" spans="1:10" ht="11.25" customHeight="1">
      <c r="A64" s="794"/>
      <c r="B64" s="794"/>
      <c r="C64" s="794"/>
      <c r="D64" s="794"/>
      <c r="E64" s="794"/>
      <c r="F64" s="794"/>
      <c r="J64" s="305"/>
    </row>
    <row r="65" spans="1:10" ht="16.5" thickBot="1">
      <c r="A65" s="828" t="s">
        <v>59</v>
      </c>
      <c r="B65" s="828"/>
      <c r="C65" s="828"/>
      <c r="D65" s="828"/>
      <c r="E65" s="828"/>
      <c r="F65" s="828"/>
      <c r="J65" s="305"/>
    </row>
    <row r="66" spans="1:10" ht="13.15" customHeight="1" thickBot="1">
      <c r="A66" s="422" t="s">
        <v>45</v>
      </c>
      <c r="B66" s="423" t="s">
        <v>46</v>
      </c>
      <c r="C66" s="423" t="s">
        <v>39</v>
      </c>
      <c r="D66" s="424" t="s">
        <v>47</v>
      </c>
      <c r="E66" s="424" t="s">
        <v>48</v>
      </c>
      <c r="F66" s="425" t="s">
        <v>420</v>
      </c>
      <c r="J66" s="305"/>
    </row>
    <row r="67" spans="1:10">
      <c r="A67" s="360" t="s">
        <v>200</v>
      </c>
      <c r="B67" s="426" t="s">
        <v>50</v>
      </c>
      <c r="C67" s="426">
        <v>1</v>
      </c>
      <c r="D67" s="427">
        <v>2428</v>
      </c>
      <c r="E67" s="456">
        <f>C67*D67</f>
        <v>2428</v>
      </c>
      <c r="F67" s="519"/>
      <c r="G67" s="196"/>
      <c r="H67" s="197"/>
      <c r="I67" s="198"/>
      <c r="J67" s="198"/>
    </row>
    <row r="68" spans="1:10">
      <c r="A68" s="360" t="s">
        <v>201</v>
      </c>
      <c r="B68" s="426" t="s">
        <v>50</v>
      </c>
      <c r="C68" s="426">
        <v>1</v>
      </c>
      <c r="D68" s="427">
        <v>1621</v>
      </c>
      <c r="E68" s="456"/>
      <c r="F68" s="519"/>
      <c r="G68" s="196"/>
      <c r="H68" s="197"/>
      <c r="I68" s="198"/>
      <c r="J68" s="198"/>
    </row>
    <row r="69" spans="1:10">
      <c r="A69" s="380" t="s">
        <v>60</v>
      </c>
      <c r="B69" s="430"/>
      <c r="C69" s="520">
        <v>1</v>
      </c>
      <c r="D69" s="435"/>
      <c r="E69" s="435"/>
      <c r="F69" s="519"/>
      <c r="G69" s="220"/>
      <c r="H69" s="197"/>
      <c r="I69" s="198"/>
      <c r="J69" s="198"/>
    </row>
    <row r="70" spans="1:10">
      <c r="A70" s="380" t="s">
        <v>52</v>
      </c>
      <c r="B70" s="430" t="s">
        <v>9</v>
      </c>
      <c r="C70" s="431">
        <v>40</v>
      </c>
      <c r="D70" s="432">
        <f>IF(C69=2,SUM(E67:E68),IF(C69=1,(SUM(E67:E68))*D68/D67,0))</f>
        <v>1621</v>
      </c>
      <c r="E70" s="435">
        <f>C70*D70/100</f>
        <v>648.4</v>
      </c>
      <c r="F70" s="519"/>
    </row>
    <row r="71" spans="1:10" s="117" customFormat="1">
      <c r="A71" s="829" t="s">
        <v>53</v>
      </c>
      <c r="B71" s="830"/>
      <c r="C71" s="830"/>
      <c r="D71" s="831"/>
      <c r="E71" s="440">
        <f>SUM(E67:E70)</f>
        <v>3076.4</v>
      </c>
      <c r="F71" s="526"/>
      <c r="G71" s="122"/>
      <c r="H71" s="122"/>
      <c r="I71" s="122"/>
      <c r="J71" s="122"/>
    </row>
    <row r="72" spans="1:10">
      <c r="A72" s="380" t="s">
        <v>54</v>
      </c>
      <c r="B72" s="430" t="s">
        <v>9</v>
      </c>
      <c r="C72" s="437">
        <f>'2.Encargos Sociais'!$C$35*100</f>
        <v>70.595951999999997</v>
      </c>
      <c r="D72" s="435">
        <f>E71</f>
        <v>3076.4</v>
      </c>
      <c r="E72" s="435">
        <f>D72*C72/100</f>
        <v>2171.813867328</v>
      </c>
      <c r="F72" s="519"/>
      <c r="G72" s="117"/>
      <c r="H72" s="117"/>
      <c r="I72" s="117"/>
      <c r="J72" s="117"/>
    </row>
    <row r="73" spans="1:10" s="117" customFormat="1">
      <c r="A73" s="829" t="s">
        <v>61</v>
      </c>
      <c r="B73" s="830"/>
      <c r="C73" s="830"/>
      <c r="D73" s="831"/>
      <c r="E73" s="440">
        <f>E71+E72</f>
        <v>5248.2138673280006</v>
      </c>
      <c r="F73" s="526"/>
      <c r="G73" s="122"/>
      <c r="H73" s="122"/>
      <c r="I73" s="122"/>
      <c r="J73" s="122"/>
    </row>
    <row r="74" spans="1:10">
      <c r="A74" s="380" t="s">
        <v>56</v>
      </c>
      <c r="B74" s="430" t="s">
        <v>57</v>
      </c>
      <c r="C74" s="431">
        <v>1</v>
      </c>
      <c r="D74" s="435">
        <f>E73</f>
        <v>5248.2138673280006</v>
      </c>
      <c r="E74" s="435">
        <f>C74*D74</f>
        <v>5248.2138673280006</v>
      </c>
      <c r="F74" s="519"/>
      <c r="G74" s="117"/>
      <c r="H74" s="117"/>
      <c r="I74" s="117"/>
      <c r="J74" s="117"/>
    </row>
    <row r="75" spans="1:10" ht="16.5" thickBot="1">
      <c r="A75" s="834" t="s">
        <v>420</v>
      </c>
      <c r="B75" s="835"/>
      <c r="C75" s="836"/>
      <c r="D75" s="449" t="s">
        <v>58</v>
      </c>
      <c r="E75" s="458">
        <f>$B$49</f>
        <v>0.48859999999999998</v>
      </c>
      <c r="F75" s="451">
        <f>E74*E75</f>
        <v>2564.2772955764608</v>
      </c>
    </row>
    <row r="76" spans="1:10" ht="11.25" customHeight="1">
      <c r="A76" s="794"/>
      <c r="B76" s="794"/>
      <c r="C76" s="794"/>
      <c r="D76" s="794"/>
      <c r="E76" s="794"/>
      <c r="F76" s="794"/>
    </row>
    <row r="77" spans="1:10" ht="16.5" thickBot="1">
      <c r="A77" s="828" t="s">
        <v>62</v>
      </c>
      <c r="B77" s="828"/>
      <c r="C77" s="828"/>
      <c r="D77" s="828"/>
      <c r="E77" s="828"/>
      <c r="F77" s="828"/>
    </row>
    <row r="78" spans="1:10" ht="16.5" thickBot="1">
      <c r="A78" s="422" t="s">
        <v>45</v>
      </c>
      <c r="B78" s="423" t="s">
        <v>46</v>
      </c>
      <c r="C78" s="423" t="s">
        <v>39</v>
      </c>
      <c r="D78" s="424" t="s">
        <v>47</v>
      </c>
      <c r="E78" s="424" t="s">
        <v>48</v>
      </c>
      <c r="F78" s="425" t="s">
        <v>420</v>
      </c>
    </row>
    <row r="79" spans="1:10">
      <c r="A79" s="380" t="s">
        <v>63</v>
      </c>
      <c r="B79" s="430" t="s">
        <v>51</v>
      </c>
      <c r="C79" s="485">
        <v>1</v>
      </c>
      <c r="D79" s="527">
        <v>4.7</v>
      </c>
      <c r="E79" s="433"/>
      <c r="F79" s="429"/>
      <c r="G79" s="196"/>
      <c r="H79" s="197"/>
      <c r="I79" s="198"/>
      <c r="J79" s="198"/>
    </row>
    <row r="80" spans="1:10">
      <c r="A80" s="380" t="s">
        <v>64</v>
      </c>
      <c r="B80" s="430" t="s">
        <v>65</v>
      </c>
      <c r="C80" s="528">
        <v>12</v>
      </c>
      <c r="D80" s="435"/>
      <c r="E80" s="433"/>
      <c r="F80" s="434"/>
      <c r="G80" s="220"/>
      <c r="H80" s="197"/>
      <c r="I80" s="198"/>
      <c r="J80" s="198"/>
    </row>
    <row r="81" spans="1:10">
      <c r="A81" s="380" t="s">
        <v>66</v>
      </c>
      <c r="B81" s="430" t="s">
        <v>67</v>
      </c>
      <c r="C81" s="529">
        <f>$C$80*2*(C62)</f>
        <v>48</v>
      </c>
      <c r="D81" s="565">
        <f>IFERROR((($C$80*2*$D$79)-(E55*0.06*C80/26))/($C$80*2),"-")</f>
        <v>2.2973346153846159</v>
      </c>
      <c r="E81" s="433">
        <f>IFERROR(C81*D81,"-")</f>
        <v>110.27206153846157</v>
      </c>
      <c r="F81" s="434"/>
    </row>
    <row r="82" spans="1:10">
      <c r="A82" s="360" t="s">
        <v>68</v>
      </c>
      <c r="B82" s="426" t="s">
        <v>67</v>
      </c>
      <c r="C82" s="529">
        <f>$C$80*2*(C74)</f>
        <v>24</v>
      </c>
      <c r="D82" s="565">
        <f>IFERROR((($C$80*2*$D$79)-(E67*0.06*C80/26))/($C$80*2),"-")</f>
        <v>1.8984615384615389</v>
      </c>
      <c r="E82" s="428">
        <f>IFERROR(C82*D82,"-")</f>
        <v>45.563076923076935</v>
      </c>
      <c r="F82" s="434"/>
    </row>
    <row r="83" spans="1:10" ht="16.5" thickBot="1">
      <c r="A83" s="834" t="s">
        <v>420</v>
      </c>
      <c r="B83" s="835"/>
      <c r="C83" s="835"/>
      <c r="D83" s="835"/>
      <c r="E83" s="836"/>
      <c r="F83" s="530">
        <f>SUM(E81:E82)</f>
        <v>155.83513846153852</v>
      </c>
    </row>
    <row r="84" spans="1:10" ht="11.25" customHeight="1">
      <c r="A84" s="794"/>
      <c r="B84" s="794"/>
      <c r="C84" s="794"/>
      <c r="D84" s="794"/>
      <c r="E84" s="794"/>
      <c r="F84" s="794"/>
    </row>
    <row r="85" spans="1:10" ht="16.5" thickBot="1">
      <c r="A85" s="828" t="s">
        <v>69</v>
      </c>
      <c r="B85" s="828"/>
      <c r="C85" s="828"/>
      <c r="D85" s="828"/>
      <c r="E85" s="828"/>
      <c r="F85" s="828"/>
    </row>
    <row r="86" spans="1:10" ht="16.5" thickBot="1">
      <c r="A86" s="422" t="s">
        <v>45</v>
      </c>
      <c r="B86" s="423" t="s">
        <v>46</v>
      </c>
      <c r="C86" s="423" t="s">
        <v>39</v>
      </c>
      <c r="D86" s="424" t="s">
        <v>47</v>
      </c>
      <c r="E86" s="424" t="s">
        <v>48</v>
      </c>
      <c r="F86" s="425" t="s">
        <v>420</v>
      </c>
    </row>
    <row r="87" spans="1:10">
      <c r="A87" s="380" t="str">
        <f>+A81</f>
        <v>Coletor</v>
      </c>
      <c r="B87" s="430" t="s">
        <v>70</v>
      </c>
      <c r="C87" s="531">
        <v>24</v>
      </c>
      <c r="D87" s="441">
        <v>0</v>
      </c>
      <c r="E87" s="532">
        <f>C87*D87</f>
        <v>0</v>
      </c>
      <c r="F87" s="533"/>
      <c r="G87" s="196"/>
      <c r="H87" s="197"/>
      <c r="I87" s="198"/>
      <c r="J87" s="198"/>
    </row>
    <row r="88" spans="1:10">
      <c r="A88" s="380" t="str">
        <f>+A82</f>
        <v>Motorista</v>
      </c>
      <c r="B88" s="523" t="s">
        <v>70</v>
      </c>
      <c r="C88" s="581">
        <f>C80*(E42)</f>
        <v>12</v>
      </c>
      <c r="D88" s="582">
        <v>23.5</v>
      </c>
      <c r="E88" s="583">
        <f>C88*D88</f>
        <v>282</v>
      </c>
      <c r="F88" s="534"/>
      <c r="G88" s="196"/>
      <c r="H88" s="197"/>
      <c r="I88" s="198"/>
      <c r="J88" s="198"/>
    </row>
    <row r="89" spans="1:10">
      <c r="A89" s="380" t="s">
        <v>56</v>
      </c>
      <c r="B89" s="584"/>
      <c r="C89" s="584"/>
      <c r="D89" s="584"/>
      <c r="E89" s="585">
        <f>SUM(E87:E88)</f>
        <v>282</v>
      </c>
      <c r="F89" s="586"/>
      <c r="G89" s="220"/>
      <c r="H89" s="197"/>
      <c r="I89" s="198"/>
      <c r="J89" s="198"/>
    </row>
    <row r="90" spans="1:10" ht="16.5" thickBot="1">
      <c r="A90" s="834" t="s">
        <v>420</v>
      </c>
      <c r="B90" s="837"/>
      <c r="C90" s="838"/>
      <c r="D90" s="587"/>
      <c r="E90" s="588"/>
      <c r="F90" s="451">
        <f>SUM(E89)</f>
        <v>282</v>
      </c>
    </row>
    <row r="91" spans="1:10">
      <c r="A91" s="794"/>
      <c r="B91" s="794"/>
      <c r="C91" s="794"/>
      <c r="D91" s="794"/>
      <c r="E91" s="794"/>
      <c r="F91" s="794"/>
    </row>
    <row r="92" spans="1:10" ht="16.5" thickBot="1">
      <c r="A92" s="828" t="s">
        <v>71</v>
      </c>
      <c r="B92" s="828"/>
      <c r="C92" s="828"/>
      <c r="D92" s="828"/>
      <c r="E92" s="828"/>
      <c r="F92" s="828"/>
    </row>
    <row r="93" spans="1:10" ht="16.5" thickBot="1">
      <c r="A93" s="422" t="s">
        <v>45</v>
      </c>
      <c r="B93" s="423" t="s">
        <v>46</v>
      </c>
      <c r="C93" s="423" t="s">
        <v>39</v>
      </c>
      <c r="D93" s="424" t="s">
        <v>47</v>
      </c>
      <c r="E93" s="424" t="s">
        <v>48</v>
      </c>
      <c r="F93" s="425" t="s">
        <v>420</v>
      </c>
    </row>
    <row r="94" spans="1:10">
      <c r="A94" s="380" t="str">
        <f>+A87</f>
        <v>Coletor</v>
      </c>
      <c r="B94" s="430" t="s">
        <v>70</v>
      </c>
      <c r="C94" s="531">
        <f>E41</f>
        <v>2</v>
      </c>
      <c r="D94" s="441">
        <f>24*27.15</f>
        <v>651.59999999999991</v>
      </c>
      <c r="E94" s="532">
        <f>C94*D94</f>
        <v>1303.1999999999998</v>
      </c>
      <c r="F94" s="533"/>
    </row>
    <row r="95" spans="1:10">
      <c r="A95" s="380" t="str">
        <f>+A88</f>
        <v>Motorista</v>
      </c>
      <c r="B95" s="430" t="s">
        <v>70</v>
      </c>
      <c r="C95" s="531">
        <f>E42</f>
        <v>1</v>
      </c>
      <c r="D95" s="441">
        <v>150</v>
      </c>
      <c r="E95" s="532">
        <f>C95*D95</f>
        <v>150</v>
      </c>
      <c r="F95" s="534"/>
      <c r="G95" s="196"/>
      <c r="H95" s="197"/>
      <c r="I95" s="198"/>
      <c r="J95" s="198"/>
    </row>
    <row r="96" spans="1:10" ht="16.5" thickBot="1">
      <c r="A96" s="839" t="s">
        <v>420</v>
      </c>
      <c r="B96" s="837"/>
      <c r="C96" s="838"/>
      <c r="D96" s="449" t="s">
        <v>58</v>
      </c>
      <c r="E96" s="450">
        <f>$B$49</f>
        <v>0.48859999999999998</v>
      </c>
      <c r="F96" s="530">
        <f>SUM(E94:E95)*E96</f>
        <v>710.03351999999984</v>
      </c>
    </row>
    <row r="97" spans="1:10" ht="16.5" thickBot="1"/>
    <row r="98" spans="1:10" ht="16.5" thickBot="1">
      <c r="A98" s="489" t="s">
        <v>72</v>
      </c>
      <c r="B98" s="490"/>
      <c r="C98" s="490"/>
      <c r="D98" s="404"/>
      <c r="E98" s="404"/>
      <c r="F98" s="535">
        <f>F96+F90+F83+F75+F63</f>
        <v>8264.4133144616098</v>
      </c>
    </row>
    <row r="99" spans="1:10">
      <c r="A99" s="840"/>
      <c r="B99" s="840"/>
      <c r="C99" s="840"/>
      <c r="D99" s="840"/>
      <c r="E99" s="840"/>
      <c r="F99" s="840"/>
    </row>
    <row r="100" spans="1:10">
      <c r="A100" s="827" t="s">
        <v>73</v>
      </c>
      <c r="B100" s="827"/>
      <c r="C100" s="827"/>
      <c r="D100" s="827"/>
      <c r="E100" s="827"/>
      <c r="F100" s="827"/>
    </row>
    <row r="101" spans="1:10" ht="11.25" customHeight="1">
      <c r="A101" s="794"/>
      <c r="B101" s="794"/>
      <c r="C101" s="794"/>
      <c r="D101" s="794"/>
      <c r="E101" s="794"/>
      <c r="F101" s="794"/>
    </row>
    <row r="102" spans="1:10" ht="13.9" customHeight="1">
      <c r="A102" s="841" t="s">
        <v>74</v>
      </c>
      <c r="B102" s="841"/>
      <c r="C102" s="841"/>
      <c r="D102" s="841"/>
      <c r="E102" s="841"/>
      <c r="F102" s="841"/>
    </row>
    <row r="103" spans="1:10" ht="11.25" customHeight="1" thickBot="1">
      <c r="A103" s="842"/>
      <c r="B103" s="842"/>
      <c r="C103" s="842"/>
      <c r="D103" s="842"/>
      <c r="E103" s="842"/>
      <c r="F103" s="842"/>
    </row>
    <row r="104" spans="1:10" ht="27.75" customHeight="1" thickBot="1">
      <c r="A104" s="422" t="s">
        <v>45</v>
      </c>
      <c r="B104" s="423" t="s">
        <v>46</v>
      </c>
      <c r="C104" s="536" t="s">
        <v>75</v>
      </c>
      <c r="D104" s="424" t="s">
        <v>47</v>
      </c>
      <c r="E104" s="424" t="s">
        <v>48</v>
      </c>
      <c r="F104" s="425" t="s">
        <v>420</v>
      </c>
    </row>
    <row r="105" spans="1:10">
      <c r="A105" s="360" t="s">
        <v>408</v>
      </c>
      <c r="B105" s="426" t="s">
        <v>70</v>
      </c>
      <c r="C105" s="537">
        <v>12</v>
      </c>
      <c r="D105" s="427">
        <f>AVERAGE(285,285,160,285,159.9)</f>
        <v>234.98000000000002</v>
      </c>
      <c r="E105" s="456">
        <f>IFERROR(D105/C105,0)</f>
        <v>19.581666666666667</v>
      </c>
      <c r="F105" s="434"/>
      <c r="G105" s="196"/>
      <c r="H105" s="197"/>
      <c r="I105" s="198"/>
      <c r="J105" s="198"/>
    </row>
    <row r="106" spans="1:10" ht="13.15" customHeight="1">
      <c r="A106" s="380" t="s">
        <v>412</v>
      </c>
      <c r="B106" s="430" t="s">
        <v>70</v>
      </c>
      <c r="C106" s="493">
        <v>6</v>
      </c>
      <c r="D106" s="427">
        <f>AVERAGE(74,68.3,59.9,74.9,65.15)</f>
        <v>68.45</v>
      </c>
      <c r="E106" s="456">
        <f t="shared" ref="E106:E114" si="1">IFERROR(D106/C106,0)</f>
        <v>11.408333333333333</v>
      </c>
      <c r="F106" s="434"/>
      <c r="G106" s="196"/>
      <c r="H106" s="197"/>
      <c r="I106" s="198"/>
      <c r="J106" s="198"/>
    </row>
    <row r="107" spans="1:10">
      <c r="A107" s="380" t="s">
        <v>413</v>
      </c>
      <c r="B107" s="430" t="s">
        <v>70</v>
      </c>
      <c r="C107" s="493">
        <v>3</v>
      </c>
      <c r="D107" s="427">
        <f>AVERAGE(43.9,17.6,43.9,43.9,28.88,43.9,43.9,43.9)</f>
        <v>38.734999999999999</v>
      </c>
      <c r="E107" s="456">
        <f t="shared" si="1"/>
        <v>12.911666666666667</v>
      </c>
      <c r="F107" s="434"/>
      <c r="G107" s="196"/>
      <c r="H107" s="197"/>
      <c r="I107" s="198"/>
      <c r="J107" s="198"/>
    </row>
    <row r="108" spans="1:10" ht="13.15" customHeight="1">
      <c r="A108" s="380" t="s">
        <v>414</v>
      </c>
      <c r="B108" s="430" t="s">
        <v>70</v>
      </c>
      <c r="C108" s="493">
        <v>3</v>
      </c>
      <c r="D108" s="427">
        <f>AVERAGE(18.9,19.68,23.99,11.31,8.55,13.5)</f>
        <v>15.988333333333332</v>
      </c>
      <c r="E108" s="456">
        <f t="shared" si="1"/>
        <v>5.3294444444444435</v>
      </c>
      <c r="F108" s="434"/>
      <c r="G108" s="196"/>
      <c r="H108" s="197"/>
      <c r="I108" s="198"/>
      <c r="J108" s="198"/>
    </row>
    <row r="109" spans="1:10" ht="13.9" customHeight="1">
      <c r="A109" s="380" t="s">
        <v>76</v>
      </c>
      <c r="B109" s="430" t="s">
        <v>77</v>
      </c>
      <c r="C109" s="493">
        <v>3</v>
      </c>
      <c r="D109" s="427">
        <f>AVERAGE(55.97,52.16,55.97,145.23,119.05)</f>
        <v>85.676000000000002</v>
      </c>
      <c r="E109" s="456">
        <f t="shared" si="1"/>
        <v>28.558666666666667</v>
      </c>
      <c r="F109" s="434"/>
      <c r="G109" s="196"/>
      <c r="H109" s="197"/>
      <c r="I109" s="198"/>
      <c r="J109" s="198"/>
    </row>
    <row r="110" spans="1:10" ht="13.15" customHeight="1">
      <c r="A110" s="380" t="s">
        <v>78</v>
      </c>
      <c r="B110" s="430" t="s">
        <v>77</v>
      </c>
      <c r="C110" s="493">
        <v>2</v>
      </c>
      <c r="D110" s="427">
        <f>AVERAGE(32/12,14.9/12,20.9,43.27/3,29.99/3)</f>
        <v>9.8456666666666646</v>
      </c>
      <c r="E110" s="456">
        <f t="shared" si="1"/>
        <v>4.9228333333333323</v>
      </c>
      <c r="F110" s="434"/>
      <c r="G110" s="196"/>
      <c r="H110" s="197"/>
      <c r="I110" s="198"/>
      <c r="J110" s="198"/>
    </row>
    <row r="111" spans="1:10">
      <c r="A111" s="380" t="s">
        <v>409</v>
      </c>
      <c r="B111" s="430" t="s">
        <v>70</v>
      </c>
      <c r="C111" s="493">
        <v>12</v>
      </c>
      <c r="D111" s="427">
        <f>AVERAGE(55,59.74,182.74,90.72,121.34)</f>
        <v>101.90800000000002</v>
      </c>
      <c r="E111" s="456">
        <f t="shared" si="1"/>
        <v>8.4923333333333346</v>
      </c>
      <c r="F111" s="434"/>
      <c r="G111" s="196"/>
      <c r="H111" s="197"/>
      <c r="I111" s="198"/>
      <c r="J111" s="198"/>
    </row>
    <row r="112" spans="1:10" s="3" customFormat="1">
      <c r="A112" s="538" t="s">
        <v>410</v>
      </c>
      <c r="B112" s="539" t="s">
        <v>70</v>
      </c>
      <c r="C112" s="493">
        <v>6</v>
      </c>
      <c r="D112" s="427">
        <f>AVERAGE(19.89,39.85,34.09,24.9,55)</f>
        <v>34.746000000000002</v>
      </c>
      <c r="E112" s="456">
        <f t="shared" si="1"/>
        <v>5.7910000000000004</v>
      </c>
      <c r="F112" s="540"/>
      <c r="G112" s="196"/>
      <c r="H112" s="197"/>
      <c r="I112" s="198"/>
      <c r="J112" s="238"/>
    </row>
    <row r="113" spans="1:10">
      <c r="A113" s="380" t="s">
        <v>79</v>
      </c>
      <c r="B113" s="430" t="s">
        <v>77</v>
      </c>
      <c r="C113" s="493">
        <v>2</v>
      </c>
      <c r="D113" s="427">
        <f>AVERAGE(23.9,25.9,12.74,19.9,54.9/5,16.48)</f>
        <v>18.316666666666666</v>
      </c>
      <c r="E113" s="456">
        <f t="shared" si="1"/>
        <v>9.1583333333333332</v>
      </c>
      <c r="F113" s="434"/>
      <c r="G113" s="196"/>
      <c r="H113" s="197"/>
      <c r="I113" s="198"/>
      <c r="J113" s="198"/>
    </row>
    <row r="114" spans="1:10" ht="13.15" customHeight="1">
      <c r="A114" s="380" t="s">
        <v>80</v>
      </c>
      <c r="B114" s="430" t="s">
        <v>81</v>
      </c>
      <c r="C114" s="493">
        <v>1</v>
      </c>
      <c r="D114" s="427">
        <f>AVERAGE(26.98,39.68,17.24,27.83,35.9)</f>
        <v>29.526</v>
      </c>
      <c r="E114" s="456">
        <f t="shared" si="1"/>
        <v>29.526</v>
      </c>
      <c r="F114" s="434"/>
      <c r="G114" s="196"/>
      <c r="H114" s="197"/>
      <c r="I114" s="198"/>
      <c r="J114" s="198"/>
    </row>
    <row r="115" spans="1:10">
      <c r="A115" s="380" t="s">
        <v>82</v>
      </c>
      <c r="B115" s="430" t="s">
        <v>83</v>
      </c>
      <c r="C115" s="495">
        <v>1</v>
      </c>
      <c r="D115" s="427">
        <v>100</v>
      </c>
      <c r="E115" s="435">
        <f t="shared" ref="E115" si="2">C115*D115</f>
        <v>100</v>
      </c>
      <c r="F115" s="434"/>
      <c r="G115" s="196"/>
      <c r="H115" s="197"/>
      <c r="I115" s="198"/>
      <c r="J115" s="198"/>
    </row>
    <row r="116" spans="1:10">
      <c r="A116" s="380" t="s">
        <v>56</v>
      </c>
      <c r="B116" s="430" t="s">
        <v>57</v>
      </c>
      <c r="C116" s="495">
        <f>E41</f>
        <v>2</v>
      </c>
      <c r="D116" s="435">
        <f>+SUM(E105:E115)</f>
        <v>235.68027777777777</v>
      </c>
      <c r="E116" s="435">
        <f>C116*D116</f>
        <v>471.36055555555555</v>
      </c>
      <c r="F116" s="434"/>
    </row>
    <row r="117" spans="1:10" ht="16.5" thickBot="1">
      <c r="A117" s="843" t="s">
        <v>84</v>
      </c>
      <c r="B117" s="844"/>
      <c r="C117" s="845"/>
      <c r="D117" s="449" t="s">
        <v>58</v>
      </c>
      <c r="E117" s="458">
        <f>$B$49</f>
        <v>0.48859999999999998</v>
      </c>
      <c r="F117" s="451">
        <f>E116*E117</f>
        <v>230.30676744444443</v>
      </c>
    </row>
    <row r="118" spans="1:10" ht="11.25" customHeight="1">
      <c r="A118" s="794"/>
      <c r="B118" s="794"/>
      <c r="C118" s="794"/>
      <c r="D118" s="794"/>
      <c r="E118" s="794"/>
      <c r="F118" s="794"/>
    </row>
    <row r="119" spans="1:10" ht="13.9" customHeight="1">
      <c r="A119" s="841" t="s">
        <v>85</v>
      </c>
      <c r="B119" s="841"/>
      <c r="C119" s="841"/>
      <c r="D119" s="841"/>
      <c r="E119" s="841"/>
      <c r="F119" s="841"/>
    </row>
    <row r="120" spans="1:10" ht="11.25" customHeight="1" thickBot="1">
      <c r="A120" s="842"/>
      <c r="B120" s="842"/>
      <c r="C120" s="842"/>
      <c r="D120" s="842"/>
      <c r="E120" s="842"/>
      <c r="F120" s="842"/>
    </row>
    <row r="121" spans="1:10" ht="30.75" thickBot="1">
      <c r="A121" s="422" t="s">
        <v>45</v>
      </c>
      <c r="B121" s="423" t="s">
        <v>46</v>
      </c>
      <c r="C121" s="536" t="s">
        <v>75</v>
      </c>
      <c r="D121" s="424" t="s">
        <v>47</v>
      </c>
      <c r="E121" s="424" t="s">
        <v>48</v>
      </c>
      <c r="F121" s="425" t="s">
        <v>420</v>
      </c>
    </row>
    <row r="122" spans="1:10">
      <c r="A122" s="360" t="s">
        <v>408</v>
      </c>
      <c r="B122" s="426" t="s">
        <v>70</v>
      </c>
      <c r="C122" s="537">
        <v>12</v>
      </c>
      <c r="D122" s="427">
        <f>AVERAGE(285,285,160,285,159.9)</f>
        <v>234.98000000000002</v>
      </c>
      <c r="E122" s="456">
        <f>IFERROR(D122/C122,0)</f>
        <v>19.581666666666667</v>
      </c>
      <c r="F122" s="429"/>
      <c r="G122" s="196"/>
      <c r="H122" s="197"/>
      <c r="I122" s="198"/>
      <c r="J122" s="198"/>
    </row>
    <row r="123" spans="1:10">
      <c r="A123" s="380" t="s">
        <v>412</v>
      </c>
      <c r="B123" s="430" t="s">
        <v>70</v>
      </c>
      <c r="C123" s="493">
        <v>6</v>
      </c>
      <c r="D123" s="427">
        <f>AVERAGE(74,68.3,59.9,74.9,65.15)</f>
        <v>68.45</v>
      </c>
      <c r="E123" s="456">
        <f t="shared" ref="E123:E127" si="3">IFERROR(D123/C123,0)</f>
        <v>11.408333333333333</v>
      </c>
      <c r="F123" s="434"/>
      <c r="G123" s="196"/>
      <c r="H123" s="197"/>
      <c r="I123" s="198"/>
      <c r="J123" s="198"/>
    </row>
    <row r="124" spans="1:10">
      <c r="A124" s="380" t="s">
        <v>413</v>
      </c>
      <c r="B124" s="430" t="s">
        <v>70</v>
      </c>
      <c r="C124" s="493">
        <v>3</v>
      </c>
      <c r="D124" s="427">
        <f>AVERAGE(43.9,17.6,43.9,43.9,28.88,43.9,43.9,43.9)</f>
        <v>38.734999999999999</v>
      </c>
      <c r="E124" s="456">
        <f t="shared" si="3"/>
        <v>12.911666666666667</v>
      </c>
      <c r="F124" s="434"/>
      <c r="G124" s="196"/>
      <c r="H124" s="197"/>
      <c r="I124" s="198"/>
      <c r="J124" s="198"/>
    </row>
    <row r="125" spans="1:10">
      <c r="A125" s="380" t="s">
        <v>76</v>
      </c>
      <c r="B125" s="430" t="s">
        <v>77</v>
      </c>
      <c r="C125" s="493">
        <v>3</v>
      </c>
      <c r="D125" s="427">
        <f>AVERAGE(55.97,52.16,55.97,145.23,119.05)</f>
        <v>85.676000000000002</v>
      </c>
      <c r="E125" s="456">
        <f t="shared" si="3"/>
        <v>28.558666666666667</v>
      </c>
      <c r="F125" s="434"/>
      <c r="G125" s="196"/>
      <c r="H125" s="197"/>
      <c r="I125" s="198"/>
      <c r="J125" s="198"/>
    </row>
    <row r="126" spans="1:10">
      <c r="A126" s="380" t="s">
        <v>409</v>
      </c>
      <c r="B126" s="430" t="s">
        <v>70</v>
      </c>
      <c r="C126" s="493">
        <v>12</v>
      </c>
      <c r="D126" s="427">
        <f>AVERAGE(55,59.74,182.74,90.72,121.34)</f>
        <v>101.90800000000002</v>
      </c>
      <c r="E126" s="456">
        <f t="shared" si="3"/>
        <v>8.4923333333333346</v>
      </c>
      <c r="F126" s="434"/>
      <c r="G126" s="196"/>
      <c r="H126" s="197"/>
      <c r="I126" s="198"/>
      <c r="J126" s="198"/>
    </row>
    <row r="127" spans="1:10">
      <c r="A127" s="380" t="s">
        <v>80</v>
      </c>
      <c r="B127" s="430" t="s">
        <v>81</v>
      </c>
      <c r="C127" s="493">
        <v>1</v>
      </c>
      <c r="D127" s="427">
        <f>AVERAGE(26.98,39.68,17.24,27.83,35.9)</f>
        <v>29.526</v>
      </c>
      <c r="E127" s="456">
        <f t="shared" si="3"/>
        <v>29.526</v>
      </c>
      <c r="F127" s="434"/>
      <c r="G127" s="196"/>
      <c r="H127" s="197"/>
      <c r="I127" s="198"/>
      <c r="J127" s="198"/>
    </row>
    <row r="128" spans="1:10">
      <c r="A128" s="380" t="s">
        <v>82</v>
      </c>
      <c r="B128" s="430" t="s">
        <v>83</v>
      </c>
      <c r="C128" s="495">
        <v>1</v>
      </c>
      <c r="D128" s="427">
        <v>100</v>
      </c>
      <c r="E128" s="435">
        <f t="shared" ref="E128:E129" si="4">C128*D128</f>
        <v>100</v>
      </c>
      <c r="F128" s="434"/>
      <c r="G128" s="196"/>
      <c r="H128" s="197"/>
      <c r="I128" s="198"/>
      <c r="J128" s="198"/>
    </row>
    <row r="129" spans="1:10">
      <c r="A129" s="380" t="s">
        <v>56</v>
      </c>
      <c r="B129" s="430" t="s">
        <v>57</v>
      </c>
      <c r="C129" s="495">
        <f>E42</f>
        <v>1</v>
      </c>
      <c r="D129" s="435">
        <f>+SUM(E122:E128)</f>
        <v>210.47866666666667</v>
      </c>
      <c r="E129" s="435">
        <f t="shared" si="4"/>
        <v>210.47866666666667</v>
      </c>
      <c r="F129" s="434"/>
    </row>
    <row r="130" spans="1:10" ht="16.5" thickBot="1">
      <c r="A130" s="843" t="s">
        <v>84</v>
      </c>
      <c r="B130" s="844"/>
      <c r="C130" s="845"/>
      <c r="D130" s="449" t="s">
        <v>58</v>
      </c>
      <c r="E130" s="458">
        <f>$B$49</f>
        <v>0.48859999999999998</v>
      </c>
      <c r="F130" s="451">
        <f>E129*E130</f>
        <v>102.83987653333332</v>
      </c>
    </row>
    <row r="131" spans="1:10" ht="11.25" customHeight="1" thickBot="1"/>
    <row r="132" spans="1:10" ht="16.5" thickBot="1">
      <c r="A132" s="489" t="s">
        <v>86</v>
      </c>
      <c r="B132" s="498"/>
      <c r="C132" s="498"/>
      <c r="D132" s="499"/>
      <c r="E132" s="499"/>
      <c r="F132" s="494">
        <f>+F117+F130</f>
        <v>333.14664397777779</v>
      </c>
    </row>
    <row r="133" spans="1:10" ht="11.25" customHeight="1"/>
    <row r="134" spans="1:10">
      <c r="A134" s="408" t="s">
        <v>87</v>
      </c>
    </row>
    <row r="135" spans="1:10" ht="11.25" customHeight="1">
      <c r="B135" s="409"/>
    </row>
    <row r="136" spans="1:10">
      <c r="A136" s="379" t="s">
        <v>423</v>
      </c>
    </row>
    <row r="137" spans="1:10" ht="11.25" customHeight="1"/>
    <row r="138" spans="1:10" ht="16.5" thickBot="1">
      <c r="A138" s="421" t="s">
        <v>88</v>
      </c>
    </row>
    <row r="139" spans="1:10" ht="16.5" thickBot="1">
      <c r="A139" s="422" t="s">
        <v>45</v>
      </c>
      <c r="B139" s="423" t="s">
        <v>46</v>
      </c>
      <c r="C139" s="423" t="s">
        <v>39</v>
      </c>
      <c r="D139" s="424" t="s">
        <v>47</v>
      </c>
      <c r="E139" s="424" t="s">
        <v>48</v>
      </c>
      <c r="F139" s="425" t="s">
        <v>420</v>
      </c>
    </row>
    <row r="140" spans="1:10">
      <c r="A140" s="360" t="s">
        <v>89</v>
      </c>
      <c r="B140" s="426" t="s">
        <v>70</v>
      </c>
      <c r="C140" s="426">
        <v>1</v>
      </c>
      <c r="D140" s="427">
        <v>420000</v>
      </c>
      <c r="E140" s="428">
        <f>C140*D140</f>
        <v>420000</v>
      </c>
      <c r="F140" s="429"/>
      <c r="G140" s="576"/>
      <c r="H140" s="577"/>
      <c r="I140" s="198"/>
      <c r="J140" s="198"/>
    </row>
    <row r="141" spans="1:10">
      <c r="A141" s="380" t="s">
        <v>90</v>
      </c>
      <c r="B141" s="430" t="s">
        <v>91</v>
      </c>
      <c r="C141" s="431">
        <v>10</v>
      </c>
      <c r="D141" s="432"/>
      <c r="E141" s="433"/>
      <c r="F141" s="434"/>
      <c r="G141" s="579"/>
      <c r="H141" s="579"/>
    </row>
    <row r="142" spans="1:10">
      <c r="A142" s="380" t="s">
        <v>92</v>
      </c>
      <c r="B142" s="430" t="s">
        <v>91</v>
      </c>
      <c r="C142" s="431">
        <v>0</v>
      </c>
      <c r="D142" s="435"/>
      <c r="E142" s="433"/>
      <c r="F142" s="436"/>
      <c r="G142" s="579"/>
      <c r="H142" s="580"/>
      <c r="I142" s="243"/>
      <c r="J142" s="243"/>
    </row>
    <row r="143" spans="1:10">
      <c r="A143" s="380" t="s">
        <v>93</v>
      </c>
      <c r="B143" s="430" t="s">
        <v>9</v>
      </c>
      <c r="C143" s="437">
        <f>IFERROR(VLOOKUP(C141,'5. Depreciação'!A4:B18,2,FALSE),0)</f>
        <v>65.180000000000007</v>
      </c>
      <c r="D143" s="435">
        <f>E140</f>
        <v>420000</v>
      </c>
      <c r="E143" s="433">
        <f>C143*D143/100</f>
        <v>273756.00000000006</v>
      </c>
      <c r="F143" s="434"/>
      <c r="G143" s="579"/>
      <c r="H143" s="579"/>
    </row>
    <row r="144" spans="1:10">
      <c r="A144" s="438" t="s">
        <v>94</v>
      </c>
      <c r="B144" s="439" t="s">
        <v>50</v>
      </c>
      <c r="C144" s="439">
        <f>C141*12</f>
        <v>120</v>
      </c>
      <c r="D144" s="440">
        <f>IF(C142&lt;=C141,E143,0)</f>
        <v>273756.00000000006</v>
      </c>
      <c r="E144" s="440">
        <f>IFERROR(D144/C144,0)</f>
        <v>2281.3000000000006</v>
      </c>
      <c r="F144" s="434"/>
      <c r="G144" s="579"/>
      <c r="H144" s="579"/>
    </row>
    <row r="145" spans="1:10">
      <c r="A145" s="411" t="s">
        <v>95</v>
      </c>
      <c r="B145" s="430" t="s">
        <v>70</v>
      </c>
      <c r="C145" s="430">
        <f>C140</f>
        <v>1</v>
      </c>
      <c r="D145" s="441">
        <v>230000</v>
      </c>
      <c r="E145" s="435">
        <f>C145*D145</f>
        <v>230000</v>
      </c>
      <c r="F145" s="434"/>
      <c r="G145" s="576"/>
      <c r="H145" s="577"/>
      <c r="I145" s="198"/>
      <c r="J145" s="198"/>
    </row>
    <row r="146" spans="1:10">
      <c r="A146" s="380" t="s">
        <v>96</v>
      </c>
      <c r="B146" s="430" t="s">
        <v>91</v>
      </c>
      <c r="C146" s="431">
        <v>10</v>
      </c>
      <c r="D146" s="435"/>
      <c r="E146" s="433"/>
      <c r="F146" s="434"/>
      <c r="G146" s="579"/>
      <c r="H146" s="579"/>
    </row>
    <row r="147" spans="1:10">
      <c r="A147" s="380" t="s">
        <v>97</v>
      </c>
      <c r="B147" s="430" t="s">
        <v>91</v>
      </c>
      <c r="C147" s="431">
        <v>0</v>
      </c>
      <c r="D147" s="435"/>
      <c r="E147" s="433"/>
      <c r="F147" s="436"/>
      <c r="H147" s="243"/>
      <c r="I147" s="243"/>
      <c r="J147" s="243"/>
    </row>
    <row r="148" spans="1:10">
      <c r="A148" s="380" t="s">
        <v>98</v>
      </c>
      <c r="B148" s="430" t="s">
        <v>9</v>
      </c>
      <c r="C148" s="442">
        <f>IFERROR(VLOOKUP(C146,'5. Depreciação'!A4:B18,2,FALSE),0)</f>
        <v>65.180000000000007</v>
      </c>
      <c r="D148" s="435">
        <f>E145</f>
        <v>230000</v>
      </c>
      <c r="E148" s="433">
        <f>C148*D148/100</f>
        <v>149914.00000000003</v>
      </c>
      <c r="F148" s="434"/>
    </row>
    <row r="149" spans="1:10">
      <c r="A149" s="443" t="s">
        <v>99</v>
      </c>
      <c r="B149" s="439" t="s">
        <v>50</v>
      </c>
      <c r="C149" s="439">
        <v>120</v>
      </c>
      <c r="D149" s="440">
        <f>IF(C147&lt;=C146,E148,0)</f>
        <v>149914.00000000003</v>
      </c>
      <c r="E149" s="444">
        <f>IFERROR(D149/C149,0)</f>
        <v>1249.2833333333335</v>
      </c>
      <c r="F149" s="434"/>
    </row>
    <row r="150" spans="1:10">
      <c r="A150" s="445" t="s">
        <v>100</v>
      </c>
      <c r="B150" s="446"/>
      <c r="C150" s="446"/>
      <c r="D150" s="447"/>
      <c r="E150" s="448">
        <f>E144+E149</f>
        <v>3530.5833333333339</v>
      </c>
      <c r="F150" s="434"/>
    </row>
    <row r="151" spans="1:10">
      <c r="A151" s="443" t="s">
        <v>101</v>
      </c>
      <c r="B151" s="439" t="s">
        <v>70</v>
      </c>
      <c r="C151" s="431">
        <v>1</v>
      </c>
      <c r="D151" s="440">
        <f>E150</f>
        <v>3530.5833333333339</v>
      </c>
      <c r="E151" s="448">
        <f>C151*D151</f>
        <v>3530.5833333333339</v>
      </c>
      <c r="F151" s="434"/>
    </row>
    <row r="152" spans="1:10" ht="16.5" thickBot="1">
      <c r="A152" s="846" t="str">
        <f>F139</f>
        <v>Total (R$)</v>
      </c>
      <c r="B152" s="847"/>
      <c r="C152" s="848"/>
      <c r="D152" s="449" t="s">
        <v>58</v>
      </c>
      <c r="E152" s="450">
        <f>$B$49</f>
        <v>0.48859999999999998</v>
      </c>
      <c r="F152" s="451">
        <f>(E151*E152)</f>
        <v>1725.043016666667</v>
      </c>
    </row>
    <row r="153" spans="1:10" ht="11.25" customHeight="1"/>
    <row r="154" spans="1:10" ht="16.5" thickBot="1">
      <c r="A154" s="421" t="s">
        <v>102</v>
      </c>
    </row>
    <row r="155" spans="1:10" ht="16.5" thickBot="1">
      <c r="A155" s="422" t="s">
        <v>45</v>
      </c>
      <c r="B155" s="423" t="s">
        <v>46</v>
      </c>
      <c r="C155" s="423" t="s">
        <v>39</v>
      </c>
      <c r="D155" s="424" t="s">
        <v>47</v>
      </c>
      <c r="E155" s="424" t="s">
        <v>48</v>
      </c>
      <c r="F155" s="425" t="s">
        <v>420</v>
      </c>
      <c r="H155" s="243"/>
      <c r="I155" s="243"/>
      <c r="J155" s="243"/>
    </row>
    <row r="156" spans="1:10">
      <c r="A156" s="360" t="s">
        <v>103</v>
      </c>
      <c r="B156" s="426" t="s">
        <v>70</v>
      </c>
      <c r="C156" s="426">
        <v>1</v>
      </c>
      <c r="D156" s="427">
        <f>D140</f>
        <v>420000</v>
      </c>
      <c r="E156" s="428">
        <f>C156*D156</f>
        <v>420000</v>
      </c>
      <c r="F156" s="452"/>
      <c r="G156" s="196"/>
      <c r="H156" s="197"/>
      <c r="I156" s="198"/>
      <c r="J156" s="198"/>
    </row>
    <row r="157" spans="1:10">
      <c r="A157" s="380" t="s">
        <v>104</v>
      </c>
      <c r="B157" s="430" t="s">
        <v>9</v>
      </c>
      <c r="C157" s="431">
        <v>14</v>
      </c>
      <c r="D157" s="435"/>
      <c r="E157" s="433"/>
      <c r="F157" s="436"/>
    </row>
    <row r="158" spans="1:10">
      <c r="A158" s="380" t="s">
        <v>105</v>
      </c>
      <c r="B158" s="430" t="s">
        <v>51</v>
      </c>
      <c r="C158" s="453">
        <f>IFERROR(IF(C142&lt;=C141,E140-(C143/(100*C141)*C142)*E140,E140-E143),0)</f>
        <v>420000</v>
      </c>
      <c r="D158" s="435"/>
      <c r="E158" s="433"/>
      <c r="F158" s="436"/>
      <c r="H158" s="243"/>
      <c r="I158" s="243"/>
      <c r="J158" s="243"/>
    </row>
    <row r="159" spans="1:10">
      <c r="A159" s="411" t="s">
        <v>106</v>
      </c>
      <c r="B159" s="430" t="s">
        <v>51</v>
      </c>
      <c r="C159" s="432">
        <f>IFERROR(IF(C142&gt;=C141,C158,((((C158)-(E140-E143))*(((C141-C142)+1)/(2*(C141-C142))))+(E140-E143))),0)</f>
        <v>296809.8</v>
      </c>
      <c r="D159" s="435"/>
      <c r="E159" s="435"/>
      <c r="F159" s="436"/>
    </row>
    <row r="160" spans="1:10">
      <c r="A160" s="438" t="s">
        <v>107</v>
      </c>
      <c r="B160" s="439" t="s">
        <v>51</v>
      </c>
      <c r="C160" s="439"/>
      <c r="D160" s="454">
        <f>C157*C159/12/100</f>
        <v>3462.7809999999999</v>
      </c>
      <c r="E160" s="440">
        <f>D160</f>
        <v>3462.7809999999999</v>
      </c>
      <c r="F160" s="436"/>
    </row>
    <row r="161" spans="1:10">
      <c r="A161" s="411" t="s">
        <v>108</v>
      </c>
      <c r="B161" s="430" t="s">
        <v>70</v>
      </c>
      <c r="C161" s="430">
        <f>C145</f>
        <v>1</v>
      </c>
      <c r="D161" s="441">
        <f>D145</f>
        <v>230000</v>
      </c>
      <c r="E161" s="435">
        <f>C161*D161</f>
        <v>230000</v>
      </c>
      <c r="F161" s="436"/>
      <c r="G161" s="196"/>
      <c r="H161" s="197"/>
      <c r="I161" s="198"/>
      <c r="J161" s="198"/>
    </row>
    <row r="162" spans="1:10">
      <c r="A162" s="380" t="s">
        <v>104</v>
      </c>
      <c r="B162" s="430" t="s">
        <v>9</v>
      </c>
      <c r="C162" s="430">
        <f>C157</f>
        <v>14</v>
      </c>
      <c r="D162" s="435"/>
      <c r="E162" s="433"/>
      <c r="F162" s="436"/>
      <c r="H162" s="243"/>
      <c r="I162" s="243"/>
      <c r="J162" s="243"/>
    </row>
    <row r="163" spans="1:10">
      <c r="A163" s="380" t="s">
        <v>109</v>
      </c>
      <c r="B163" s="430" t="s">
        <v>51</v>
      </c>
      <c r="C163" s="453">
        <f>IFERROR(IF(C147&lt;=C146,E145-(C148/(100*C146)*C147)*E145,E145-E148),0)</f>
        <v>230000</v>
      </c>
      <c r="D163" s="435"/>
      <c r="E163" s="433"/>
      <c r="F163" s="436"/>
      <c r="H163" s="243"/>
      <c r="I163" s="243"/>
      <c r="J163" s="243"/>
    </row>
    <row r="164" spans="1:10">
      <c r="A164" s="380" t="s">
        <v>110</v>
      </c>
      <c r="B164" s="430" t="s">
        <v>51</v>
      </c>
      <c r="C164" s="432">
        <f>IFERROR(IF(C147&gt;=C146,C163,((((C163)-(E145-E148))*(((C146-C147)+1)/(2*(C146-C147))))+(E145-E148))),0)</f>
        <v>162538.70000000001</v>
      </c>
      <c r="D164" s="435"/>
      <c r="E164" s="433"/>
      <c r="F164" s="436"/>
      <c r="H164" s="243"/>
      <c r="I164" s="243"/>
      <c r="J164" s="243"/>
    </row>
    <row r="165" spans="1:10">
      <c r="A165" s="443" t="s">
        <v>111</v>
      </c>
      <c r="B165" s="439" t="s">
        <v>51</v>
      </c>
      <c r="C165" s="439"/>
      <c r="D165" s="454">
        <f>C162*C164/12/100</f>
        <v>1896.2848333333336</v>
      </c>
      <c r="E165" s="444">
        <f>D165</f>
        <v>1896.2848333333336</v>
      </c>
      <c r="F165" s="436"/>
      <c r="H165" s="243"/>
      <c r="I165" s="243"/>
      <c r="J165" s="243"/>
    </row>
    <row r="166" spans="1:10">
      <c r="A166" s="445" t="s">
        <v>100</v>
      </c>
      <c r="B166" s="446"/>
      <c r="C166" s="446"/>
      <c r="D166" s="447"/>
      <c r="E166" s="448">
        <f>E160+E165</f>
        <v>5359.065833333334</v>
      </c>
      <c r="F166" s="436"/>
      <c r="H166" s="243"/>
      <c r="I166" s="243"/>
      <c r="J166" s="243"/>
    </row>
    <row r="167" spans="1:10">
      <c r="A167" s="443" t="s">
        <v>101</v>
      </c>
      <c r="B167" s="439" t="s">
        <v>70</v>
      </c>
      <c r="C167" s="430">
        <f>C151</f>
        <v>1</v>
      </c>
      <c r="D167" s="440">
        <f>E166</f>
        <v>5359.065833333334</v>
      </c>
      <c r="E167" s="448">
        <f>C167*D167</f>
        <v>5359.065833333334</v>
      </c>
      <c r="F167" s="436"/>
      <c r="H167" s="243"/>
      <c r="I167" s="243"/>
      <c r="J167" s="243"/>
    </row>
    <row r="168" spans="1:10" ht="16.5" thickBot="1">
      <c r="A168" s="846" t="str">
        <f>F155</f>
        <v>Total (R$)</v>
      </c>
      <c r="B168" s="847"/>
      <c r="C168" s="848"/>
      <c r="D168" s="449" t="s">
        <v>58</v>
      </c>
      <c r="E168" s="450">
        <f>$B$49</f>
        <v>0.48859999999999998</v>
      </c>
      <c r="F168" s="451">
        <f>(E167*E168)</f>
        <v>2618.4395661666667</v>
      </c>
      <c r="H168" s="243"/>
      <c r="I168" s="243"/>
      <c r="J168" s="243"/>
    </row>
    <row r="169" spans="1:10" ht="11.25" customHeight="1">
      <c r="H169" s="243"/>
      <c r="I169" s="243"/>
      <c r="J169" s="243"/>
    </row>
    <row r="170" spans="1:10" ht="16.5" thickBot="1">
      <c r="A170" s="455" t="s">
        <v>112</v>
      </c>
      <c r="H170" s="243"/>
      <c r="I170" s="243"/>
      <c r="J170" s="243"/>
    </row>
    <row r="171" spans="1:10" ht="16.5" thickBot="1">
      <c r="A171" s="422" t="s">
        <v>45</v>
      </c>
      <c r="B171" s="423" t="s">
        <v>46</v>
      </c>
      <c r="C171" s="423" t="s">
        <v>39</v>
      </c>
      <c r="D171" s="424" t="s">
        <v>47</v>
      </c>
      <c r="E171" s="424" t="s">
        <v>48</v>
      </c>
      <c r="F171" s="425" t="s">
        <v>420</v>
      </c>
      <c r="H171" s="243"/>
      <c r="I171" s="243"/>
      <c r="J171" s="243"/>
    </row>
    <row r="172" spans="1:10">
      <c r="A172" s="360" t="s">
        <v>113</v>
      </c>
      <c r="B172" s="426" t="s">
        <v>70</v>
      </c>
      <c r="C172" s="456">
        <f>C140</f>
        <v>1</v>
      </c>
      <c r="D172" s="456">
        <f>0.01*D140</f>
        <v>4200</v>
      </c>
      <c r="E172" s="456">
        <f>C172*D172</f>
        <v>4200</v>
      </c>
      <c r="F172" s="429"/>
      <c r="G172" s="196"/>
      <c r="H172" s="197"/>
      <c r="I172" s="198"/>
      <c r="J172" s="198"/>
    </row>
    <row r="173" spans="1:10">
      <c r="A173" s="380" t="s">
        <v>114</v>
      </c>
      <c r="B173" s="430" t="s">
        <v>70</v>
      </c>
      <c r="C173" s="456">
        <f>C140</f>
        <v>1</v>
      </c>
      <c r="D173" s="441">
        <v>114.09</v>
      </c>
      <c r="E173" s="435">
        <f>C173*D173</f>
        <v>114.09</v>
      </c>
      <c r="F173" s="434"/>
      <c r="G173" s="196"/>
      <c r="H173" s="197"/>
      <c r="I173" s="198"/>
      <c r="J173" s="198"/>
    </row>
    <row r="174" spans="1:10">
      <c r="A174" s="380" t="s">
        <v>115</v>
      </c>
      <c r="B174" s="430" t="s">
        <v>70</v>
      </c>
      <c r="C174" s="456">
        <f>C140</f>
        <v>1</v>
      </c>
      <c r="D174" s="441">
        <v>15000</v>
      </c>
      <c r="E174" s="435">
        <f>C174*D174</f>
        <v>15000</v>
      </c>
      <c r="F174" s="457"/>
      <c r="G174" s="196"/>
      <c r="H174" s="197"/>
      <c r="I174" s="198"/>
      <c r="J174" s="198"/>
    </row>
    <row r="175" spans="1:10">
      <c r="A175" s="443" t="s">
        <v>116</v>
      </c>
      <c r="B175" s="439" t="s">
        <v>50</v>
      </c>
      <c r="C175" s="439">
        <v>12</v>
      </c>
      <c r="D175" s="440">
        <f>SUM(E172:E174)</f>
        <v>19314.09</v>
      </c>
      <c r="E175" s="440">
        <f>D175/C175</f>
        <v>1609.5074999999999</v>
      </c>
      <c r="F175" s="434"/>
      <c r="H175" s="243"/>
      <c r="I175" s="243"/>
      <c r="J175" s="243"/>
    </row>
    <row r="176" spans="1:10" ht="16.5" thickBot="1">
      <c r="A176" s="541" t="str">
        <f>F171</f>
        <v>Total (R$)</v>
      </c>
      <c r="B176" s="542"/>
      <c r="C176" s="542"/>
      <c r="D176" s="449" t="s">
        <v>58</v>
      </c>
      <c r="E176" s="458">
        <f>$B$49</f>
        <v>0.48859999999999998</v>
      </c>
      <c r="F176" s="451">
        <f>E175*E176</f>
        <v>786.40536449999991</v>
      </c>
      <c r="H176" s="243"/>
      <c r="I176" s="243"/>
      <c r="J176" s="243"/>
    </row>
    <row r="177" spans="1:10" ht="11.25" customHeight="1">
      <c r="H177" s="243"/>
      <c r="I177" s="243"/>
      <c r="J177" s="243"/>
    </row>
    <row r="178" spans="1:10">
      <c r="A178" s="455" t="s">
        <v>117</v>
      </c>
      <c r="B178" s="459"/>
      <c r="H178" s="243"/>
      <c r="I178" s="243"/>
      <c r="J178" s="243"/>
    </row>
    <row r="179" spans="1:10" ht="16.5" thickBot="1">
      <c r="B179" s="459"/>
      <c r="H179" s="243"/>
      <c r="I179" s="243"/>
      <c r="J179" s="243"/>
    </row>
    <row r="180" spans="1:10" ht="16.5" thickBot="1">
      <c r="A180" s="460" t="s">
        <v>118</v>
      </c>
      <c r="B180" s="543">
        <v>3097.76</v>
      </c>
      <c r="H180" s="243"/>
      <c r="I180" s="243"/>
      <c r="J180" s="243"/>
    </row>
    <row r="181" spans="1:10" ht="16.5" thickBot="1">
      <c r="B181" s="459"/>
      <c r="H181" s="243"/>
      <c r="I181" s="243"/>
      <c r="J181" s="243"/>
    </row>
    <row r="182" spans="1:10" ht="16.5" thickBot="1">
      <c r="A182" s="422" t="s">
        <v>45</v>
      </c>
      <c r="B182" s="423" t="s">
        <v>46</v>
      </c>
      <c r="C182" s="423" t="s">
        <v>119</v>
      </c>
      <c r="D182" s="424" t="s">
        <v>47</v>
      </c>
      <c r="E182" s="424" t="s">
        <v>48</v>
      </c>
      <c r="F182" s="425" t="s">
        <v>420</v>
      </c>
      <c r="H182" s="243"/>
      <c r="I182" s="243"/>
      <c r="J182" s="243"/>
    </row>
    <row r="183" spans="1:10">
      <c r="A183" s="461" t="s">
        <v>120</v>
      </c>
      <c r="B183" s="462" t="s">
        <v>121</v>
      </c>
      <c r="C183" s="463">
        <v>2</v>
      </c>
      <c r="D183" s="547">
        <v>6.81</v>
      </c>
      <c r="E183" s="464"/>
      <c r="F183" s="429"/>
      <c r="G183" s="196"/>
      <c r="H183" s="197"/>
      <c r="I183" s="198"/>
      <c r="J183" s="198"/>
    </row>
    <row r="184" spans="1:10">
      <c r="A184" s="465" t="s">
        <v>122</v>
      </c>
      <c r="B184" s="466" t="s">
        <v>123</v>
      </c>
      <c r="C184" s="548">
        <f>SUM(B180)</f>
        <v>3097.76</v>
      </c>
      <c r="D184" s="467">
        <f>IFERROR(+D183/C183,"-")</f>
        <v>3.4049999999999998</v>
      </c>
      <c r="E184" s="468">
        <f>IFERROR(C184*D184,"-")</f>
        <v>10547.872800000001</v>
      </c>
      <c r="F184" s="434"/>
      <c r="H184" s="243"/>
      <c r="I184" s="243"/>
      <c r="J184" s="243"/>
    </row>
    <row r="185" spans="1:10">
      <c r="A185" s="469" t="s">
        <v>124</v>
      </c>
      <c r="B185" s="470" t="s">
        <v>125</v>
      </c>
      <c r="C185" s="471">
        <v>1.5</v>
      </c>
      <c r="D185" s="472">
        <v>30</v>
      </c>
      <c r="E185" s="473"/>
      <c r="F185" s="434"/>
      <c r="G185" s="196"/>
      <c r="H185" s="197"/>
      <c r="I185" s="198"/>
      <c r="J185" s="198"/>
    </row>
    <row r="186" spans="1:10">
      <c r="A186" s="474" t="s">
        <v>126</v>
      </c>
      <c r="B186" s="475" t="s">
        <v>123</v>
      </c>
      <c r="C186" s="549">
        <f>C184</f>
        <v>3097.76</v>
      </c>
      <c r="D186" s="476">
        <f>+C185*D185/1000</f>
        <v>4.4999999999999998E-2</v>
      </c>
      <c r="E186" s="477">
        <f>C186*D186</f>
        <v>139.39920000000001</v>
      </c>
      <c r="F186" s="434"/>
      <c r="H186" s="243"/>
      <c r="I186" s="243"/>
      <c r="J186" s="243"/>
    </row>
    <row r="187" spans="1:10">
      <c r="A187" s="478" t="s">
        <v>127</v>
      </c>
      <c r="B187" s="479" t="s">
        <v>125</v>
      </c>
      <c r="C187" s="480">
        <v>0.3</v>
      </c>
      <c r="D187" s="481">
        <v>75</v>
      </c>
      <c r="E187" s="482"/>
      <c r="F187" s="434"/>
      <c r="G187" s="196"/>
      <c r="H187" s="197"/>
      <c r="I187" s="198"/>
      <c r="J187" s="198"/>
    </row>
    <row r="188" spans="1:10">
      <c r="A188" s="474" t="s">
        <v>128</v>
      </c>
      <c r="B188" s="475" t="s">
        <v>123</v>
      </c>
      <c r="C188" s="549">
        <f>C184</f>
        <v>3097.76</v>
      </c>
      <c r="D188" s="476">
        <f>+C187*D187/1000</f>
        <v>2.2499999999999999E-2</v>
      </c>
      <c r="E188" s="477">
        <f>C188*D188</f>
        <v>69.699600000000004</v>
      </c>
      <c r="F188" s="434"/>
      <c r="H188" s="243"/>
      <c r="I188" s="243"/>
      <c r="J188" s="243"/>
    </row>
    <row r="189" spans="1:10">
      <c r="A189" s="469" t="s">
        <v>129</v>
      </c>
      <c r="B189" s="470" t="s">
        <v>125</v>
      </c>
      <c r="C189" s="471">
        <v>6</v>
      </c>
      <c r="D189" s="472">
        <v>22</v>
      </c>
      <c r="E189" s="473"/>
      <c r="F189" s="434"/>
      <c r="G189" s="196"/>
      <c r="H189" s="197"/>
      <c r="I189" s="198"/>
      <c r="J189" s="198"/>
    </row>
    <row r="190" spans="1:10">
      <c r="A190" s="474" t="s">
        <v>130</v>
      </c>
      <c r="B190" s="475" t="s">
        <v>123</v>
      </c>
      <c r="C190" s="549">
        <f>C184</f>
        <v>3097.76</v>
      </c>
      <c r="D190" s="476">
        <f>+C189*D189/1000</f>
        <v>0.13200000000000001</v>
      </c>
      <c r="E190" s="477">
        <f>C190*D190</f>
        <v>408.90432000000004</v>
      </c>
      <c r="F190" s="434"/>
      <c r="H190" s="243"/>
      <c r="I190" s="243"/>
      <c r="J190" s="243"/>
    </row>
    <row r="191" spans="1:10">
      <c r="A191" s="469" t="s">
        <v>131</v>
      </c>
      <c r="B191" s="470" t="s">
        <v>132</v>
      </c>
      <c r="C191" s="471">
        <v>2</v>
      </c>
      <c r="D191" s="472">
        <v>29</v>
      </c>
      <c r="E191" s="473"/>
      <c r="F191" s="434"/>
      <c r="G191" s="196"/>
      <c r="H191" s="197"/>
      <c r="I191" s="198"/>
      <c r="J191" s="198"/>
    </row>
    <row r="192" spans="1:10">
      <c r="A192" s="474" t="s">
        <v>133</v>
      </c>
      <c r="B192" s="475" t="s">
        <v>123</v>
      </c>
      <c r="C192" s="549">
        <f>C184</f>
        <v>3097.76</v>
      </c>
      <c r="D192" s="476">
        <f>+C191*D191/1000</f>
        <v>5.8000000000000003E-2</v>
      </c>
      <c r="E192" s="477">
        <f>C192*D192</f>
        <v>179.67008000000001</v>
      </c>
      <c r="F192" s="434"/>
      <c r="H192" s="243"/>
      <c r="I192" s="243"/>
      <c r="J192" s="243"/>
    </row>
    <row r="193" spans="1:10">
      <c r="A193" s="443" t="s">
        <v>134</v>
      </c>
      <c r="B193" s="439" t="s">
        <v>135</v>
      </c>
      <c r="C193" s="483"/>
      <c r="D193" s="484">
        <f>IFERROR(D184+D186+D188+D190+D192,0)</f>
        <v>3.6624999999999996</v>
      </c>
      <c r="E193" s="433"/>
      <c r="F193" s="434"/>
      <c r="H193" s="243"/>
      <c r="I193" s="243"/>
      <c r="J193" s="243"/>
    </row>
    <row r="194" spans="1:10" ht="16.5" thickBot="1">
      <c r="A194" s="849" t="str">
        <f>F182</f>
        <v>Total (R$)</v>
      </c>
      <c r="B194" s="850"/>
      <c r="C194" s="850"/>
      <c r="D194" s="850"/>
      <c r="E194" s="851"/>
      <c r="F194" s="451">
        <f>SUM(E183:E192)</f>
        <v>11345.546</v>
      </c>
      <c r="H194" s="243"/>
      <c r="I194" s="243"/>
      <c r="J194" s="243"/>
    </row>
    <row r="195" spans="1:10" ht="11.25" customHeight="1">
      <c r="H195" s="243"/>
      <c r="I195" s="243"/>
      <c r="J195" s="243"/>
    </row>
    <row r="196" spans="1:10" ht="16.5" thickBot="1">
      <c r="A196" s="455" t="s">
        <v>136</v>
      </c>
      <c r="H196" s="243"/>
      <c r="I196" s="243"/>
      <c r="J196" s="243"/>
    </row>
    <row r="197" spans="1:10" ht="16.5" thickBot="1">
      <c r="A197" s="422" t="s">
        <v>45</v>
      </c>
      <c r="B197" s="423" t="s">
        <v>46</v>
      </c>
      <c r="C197" s="423" t="s">
        <v>39</v>
      </c>
      <c r="D197" s="424" t="s">
        <v>47</v>
      </c>
      <c r="E197" s="424" t="s">
        <v>48</v>
      </c>
      <c r="F197" s="425" t="s">
        <v>420</v>
      </c>
      <c r="H197" s="243"/>
      <c r="I197" s="243"/>
      <c r="J197" s="243"/>
    </row>
    <row r="198" spans="1:10">
      <c r="A198" s="360" t="s">
        <v>137</v>
      </c>
      <c r="B198" s="426" t="s">
        <v>135</v>
      </c>
      <c r="C198" s="550">
        <f>C184</f>
        <v>3097.76</v>
      </c>
      <c r="D198" s="427">
        <v>0.85</v>
      </c>
      <c r="E198" s="428">
        <f>C198*D198</f>
        <v>2633.096</v>
      </c>
      <c r="F198" s="429"/>
      <c r="G198" s="196"/>
      <c r="H198" s="197"/>
      <c r="I198" s="198"/>
      <c r="J198" s="198"/>
    </row>
    <row r="199" spans="1:10" ht="16.5" thickBot="1">
      <c r="A199" s="849" t="str">
        <f>F197</f>
        <v>Total (R$)</v>
      </c>
      <c r="B199" s="850"/>
      <c r="C199" s="850"/>
      <c r="D199" s="850"/>
      <c r="E199" s="851"/>
      <c r="F199" s="451">
        <f>E198</f>
        <v>2633.096</v>
      </c>
      <c r="H199" s="243"/>
      <c r="I199" s="243"/>
      <c r="J199" s="243"/>
    </row>
    <row r="200" spans="1:10" ht="11.25" customHeight="1">
      <c r="H200" s="243"/>
      <c r="I200" s="243"/>
      <c r="J200" s="243"/>
    </row>
    <row r="201" spans="1:10" ht="16.5" thickBot="1">
      <c r="A201" s="455" t="s">
        <v>138</v>
      </c>
      <c r="H201" s="243"/>
      <c r="I201" s="243"/>
      <c r="J201" s="243"/>
    </row>
    <row r="202" spans="1:10" ht="16.5" thickBot="1">
      <c r="A202" s="422" t="s">
        <v>45</v>
      </c>
      <c r="B202" s="423" t="s">
        <v>46</v>
      </c>
      <c r="C202" s="423" t="s">
        <v>39</v>
      </c>
      <c r="D202" s="424" t="s">
        <v>47</v>
      </c>
      <c r="E202" s="424" t="s">
        <v>48</v>
      </c>
      <c r="F202" s="425" t="s">
        <v>420</v>
      </c>
      <c r="H202" s="243"/>
      <c r="I202" s="243"/>
      <c r="J202" s="243"/>
    </row>
    <row r="203" spans="1:10">
      <c r="A203" s="360" t="s">
        <v>411</v>
      </c>
      <c r="B203" s="426" t="s">
        <v>70</v>
      </c>
      <c r="C203" s="486">
        <v>6</v>
      </c>
      <c r="D203" s="427">
        <f>AVERAGE(1223,1334,3192,2795.18,1930,2605,2800,1500,2400,1333,1570,1600,2894.1,2039.4)</f>
        <v>2086.8342857142857</v>
      </c>
      <c r="E203" s="428">
        <f>C203*D203</f>
        <v>12521.005714285715</v>
      </c>
      <c r="F203" s="429"/>
      <c r="G203" s="196"/>
      <c r="H203" s="197"/>
      <c r="I203" s="198"/>
      <c r="J203" s="198"/>
    </row>
    <row r="204" spans="1:10">
      <c r="A204" s="360" t="s">
        <v>139</v>
      </c>
      <c r="B204" s="426" t="s">
        <v>70</v>
      </c>
      <c r="C204" s="486">
        <v>1</v>
      </c>
      <c r="D204" s="487"/>
      <c r="E204" s="428"/>
      <c r="F204" s="434"/>
      <c r="H204" s="243"/>
      <c r="I204" s="243"/>
      <c r="J204" s="243"/>
    </row>
    <row r="205" spans="1:10">
      <c r="A205" s="360" t="s">
        <v>140</v>
      </c>
      <c r="B205" s="426" t="s">
        <v>70</v>
      </c>
      <c r="C205" s="456">
        <v>6</v>
      </c>
      <c r="D205" s="427">
        <f>AVERAGE(920,609.5,609.5,600,600)</f>
        <v>667.8</v>
      </c>
      <c r="E205" s="428">
        <f>C205*D205</f>
        <v>4006.7999999999997</v>
      </c>
      <c r="F205" s="434"/>
      <c r="G205" s="196"/>
      <c r="H205" s="197"/>
      <c r="I205" s="198"/>
      <c r="J205" s="198"/>
    </row>
    <row r="206" spans="1:10">
      <c r="A206" s="380" t="s">
        <v>141</v>
      </c>
      <c r="B206" s="430" t="s">
        <v>142</v>
      </c>
      <c r="C206" s="488">
        <v>50000</v>
      </c>
      <c r="D206" s="435">
        <f>E203+E205</f>
        <v>16527.805714285714</v>
      </c>
      <c r="E206" s="433">
        <f>IFERROR(D206/C206,"-")</f>
        <v>0.3305561142857143</v>
      </c>
      <c r="F206" s="434"/>
      <c r="H206" s="243"/>
      <c r="I206" s="243"/>
      <c r="J206" s="243"/>
    </row>
    <row r="207" spans="1:10">
      <c r="A207" s="380" t="s">
        <v>143</v>
      </c>
      <c r="B207" s="430" t="s">
        <v>123</v>
      </c>
      <c r="C207" s="485">
        <f>B180</f>
        <v>3097.76</v>
      </c>
      <c r="D207" s="435">
        <f>E206</f>
        <v>0.3305561142857143</v>
      </c>
      <c r="E207" s="433">
        <f>IFERROR(C207*D207,0)</f>
        <v>1023.9835085897143</v>
      </c>
      <c r="F207" s="434"/>
      <c r="H207" s="243"/>
      <c r="I207" s="243"/>
      <c r="J207" s="243"/>
    </row>
    <row r="208" spans="1:10" ht="16.5" thickBot="1">
      <c r="A208" s="849" t="str">
        <f>F202</f>
        <v>Total (R$)</v>
      </c>
      <c r="B208" s="850"/>
      <c r="C208" s="850"/>
      <c r="D208" s="850"/>
      <c r="E208" s="851"/>
      <c r="F208" s="451">
        <f>E207</f>
        <v>1023.9835085897143</v>
      </c>
      <c r="H208" s="243"/>
      <c r="I208" s="243"/>
      <c r="J208" s="243"/>
    </row>
    <row r="209" spans="1:10" ht="11.25" customHeight="1">
      <c r="H209" s="243"/>
      <c r="I209" s="243"/>
      <c r="J209" s="243"/>
    </row>
    <row r="210" spans="1:10" ht="11.25" customHeight="1" thickBot="1"/>
    <row r="211" spans="1:10" ht="16.5" thickBot="1">
      <c r="A211" s="489" t="s">
        <v>144</v>
      </c>
      <c r="B211" s="490"/>
      <c r="C211" s="490"/>
      <c r="D211" s="404"/>
      <c r="E211" s="404"/>
      <c r="F211" s="385">
        <f>+SUM(F140:F210)</f>
        <v>20132.51345592305</v>
      </c>
    </row>
    <row r="212" spans="1:10" ht="11.25" customHeight="1">
      <c r="H212" s="198"/>
    </row>
    <row r="213" spans="1:10">
      <c r="A213" s="408" t="s">
        <v>145</v>
      </c>
      <c r="B213" s="408"/>
      <c r="C213" s="408"/>
      <c r="D213" s="491"/>
      <c r="E213" s="491"/>
      <c r="F213" s="492"/>
    </row>
    <row r="214" spans="1:10" ht="11.25" customHeight="1" thickBot="1"/>
    <row r="215" spans="1:10" ht="16.5" thickBot="1">
      <c r="A215" s="422" t="s">
        <v>45</v>
      </c>
      <c r="B215" s="423" t="s">
        <v>46</v>
      </c>
      <c r="C215" s="423" t="s">
        <v>39</v>
      </c>
      <c r="D215" s="424" t="s">
        <v>47</v>
      </c>
      <c r="E215" s="424" t="s">
        <v>48</v>
      </c>
      <c r="F215" s="425" t="s">
        <v>420</v>
      </c>
    </row>
    <row r="216" spans="1:10">
      <c r="A216" s="380" t="s">
        <v>146</v>
      </c>
      <c r="B216" s="430" t="s">
        <v>70</v>
      </c>
      <c r="C216" s="493">
        <v>8.3333333333333301E-2</v>
      </c>
      <c r="D216" s="427">
        <v>47.95</v>
      </c>
      <c r="E216" s="433">
        <f>C216*D216</f>
        <v>3.9958333333333322</v>
      </c>
      <c r="F216" s="452"/>
      <c r="G216" s="196"/>
      <c r="H216" s="197"/>
      <c r="I216" s="198"/>
      <c r="J216" s="198"/>
    </row>
    <row r="217" spans="1:10">
      <c r="A217" s="380" t="s">
        <v>147</v>
      </c>
      <c r="B217" s="430" t="s">
        <v>70</v>
      </c>
      <c r="C217" s="493">
        <v>8.3333333333333301E-2</v>
      </c>
      <c r="D217" s="427">
        <v>51.88</v>
      </c>
      <c r="E217" s="433">
        <f>C217*D217</f>
        <v>4.3233333333333315</v>
      </c>
      <c r="F217" s="436"/>
      <c r="G217" s="196"/>
      <c r="H217" s="197"/>
      <c r="I217" s="198"/>
      <c r="J217" s="198"/>
    </row>
    <row r="218" spans="1:10">
      <c r="A218" s="380" t="s">
        <v>148</v>
      </c>
      <c r="B218" s="430" t="s">
        <v>70</v>
      </c>
      <c r="C218" s="493">
        <v>0.33333333333333298</v>
      </c>
      <c r="D218" s="427">
        <v>45.56</v>
      </c>
      <c r="E218" s="433">
        <f>C218*D218</f>
        <v>15.186666666666651</v>
      </c>
      <c r="F218" s="436"/>
      <c r="G218" s="196"/>
      <c r="H218" s="197"/>
      <c r="I218" s="198"/>
      <c r="J218" s="198"/>
    </row>
    <row r="219" spans="1:10" ht="16.5" thickBot="1">
      <c r="A219" s="849" t="str">
        <f>F215</f>
        <v>Total (R$)</v>
      </c>
      <c r="B219" s="850"/>
      <c r="C219" s="850"/>
      <c r="D219" s="850"/>
      <c r="E219" s="851"/>
      <c r="F219" s="451">
        <f>SUM(E216:E218)</f>
        <v>23.505833333333314</v>
      </c>
      <c r="G219" s="196"/>
      <c r="H219" s="197"/>
      <c r="I219" s="198"/>
      <c r="J219" s="198"/>
    </row>
    <row r="220" spans="1:10" ht="11.25" customHeight="1" thickBot="1">
      <c r="G220" s="220"/>
      <c r="H220" s="197"/>
      <c r="I220" s="198"/>
      <c r="J220" s="198"/>
    </row>
    <row r="221" spans="1:10" ht="16.5" thickBot="1">
      <c r="A221" s="852" t="s">
        <v>149</v>
      </c>
      <c r="B221" s="853"/>
      <c r="C221" s="853"/>
      <c r="D221" s="853"/>
      <c r="E221" s="853"/>
      <c r="F221" s="494">
        <f>+F219</f>
        <v>23.505833333333314</v>
      </c>
    </row>
    <row r="222" spans="1:10" ht="11.25" customHeight="1"/>
    <row r="223" spans="1:10">
      <c r="A223" s="408" t="s">
        <v>150</v>
      </c>
      <c r="B223" s="408"/>
      <c r="C223" s="408"/>
      <c r="D223" s="491"/>
      <c r="E223" s="491"/>
      <c r="F223" s="492"/>
    </row>
    <row r="224" spans="1:10" ht="11.25" customHeight="1" thickBot="1"/>
    <row r="225" spans="1:10" ht="16.5" thickBot="1">
      <c r="A225" s="422" t="s">
        <v>45</v>
      </c>
      <c r="B225" s="423" t="s">
        <v>46</v>
      </c>
      <c r="C225" s="423" t="s">
        <v>39</v>
      </c>
      <c r="D225" s="424" t="s">
        <v>47</v>
      </c>
      <c r="E225" s="424" t="s">
        <v>48</v>
      </c>
      <c r="F225" s="425" t="s">
        <v>420</v>
      </c>
    </row>
    <row r="226" spans="1:10">
      <c r="A226" s="380" t="s">
        <v>151</v>
      </c>
      <c r="B226" s="430" t="s">
        <v>152</v>
      </c>
      <c r="C226" s="495">
        <f>C140</f>
        <v>1</v>
      </c>
      <c r="D226" s="441">
        <v>450</v>
      </c>
      <c r="E226" s="433">
        <f>+D226*C226</f>
        <v>450</v>
      </c>
      <c r="F226" s="452"/>
      <c r="G226" s="196"/>
      <c r="H226" s="197"/>
      <c r="I226" s="198"/>
      <c r="J226" s="198"/>
    </row>
    <row r="227" spans="1:10">
      <c r="A227" s="380" t="s">
        <v>153</v>
      </c>
      <c r="B227" s="430" t="s">
        <v>50</v>
      </c>
      <c r="C227" s="430">
        <v>60</v>
      </c>
      <c r="D227" s="435">
        <f>SUM(E226:E226)</f>
        <v>450</v>
      </c>
      <c r="E227" s="433">
        <f>+D227/C227</f>
        <v>7.5</v>
      </c>
      <c r="F227" s="436"/>
    </row>
    <row r="228" spans="1:10">
      <c r="A228" s="380" t="s">
        <v>154</v>
      </c>
      <c r="B228" s="430" t="s">
        <v>70</v>
      </c>
      <c r="C228" s="495">
        <f>+C226</f>
        <v>1</v>
      </c>
      <c r="D228" s="441">
        <v>100</v>
      </c>
      <c r="E228" s="433">
        <f>C228*D228</f>
        <v>100</v>
      </c>
      <c r="F228" s="436"/>
      <c r="G228" s="196"/>
      <c r="H228" s="197"/>
      <c r="I228" s="198"/>
      <c r="J228" s="198"/>
    </row>
    <row r="229" spans="1:10">
      <c r="A229" s="380" t="s">
        <v>155</v>
      </c>
      <c r="B229" s="430" t="s">
        <v>50</v>
      </c>
      <c r="C229" s="430">
        <v>1</v>
      </c>
      <c r="D229" s="435">
        <f>+E228</f>
        <v>100</v>
      </c>
      <c r="E229" s="433">
        <f>+D229/C229</f>
        <v>100</v>
      </c>
      <c r="F229" s="436"/>
    </row>
    <row r="230" spans="1:10" ht="16.5" thickBot="1">
      <c r="A230" s="849" t="str">
        <f>F225</f>
        <v>Total (R$)</v>
      </c>
      <c r="B230" s="844"/>
      <c r="C230" s="551"/>
      <c r="D230" s="449" t="s">
        <v>58</v>
      </c>
      <c r="E230" s="450">
        <f>$B$49</f>
        <v>0.48859999999999998</v>
      </c>
      <c r="F230" s="451">
        <f>(E227+E229)*E230</f>
        <v>52.524499999999996</v>
      </c>
      <c r="G230" s="220"/>
      <c r="H230" s="197"/>
      <c r="I230" s="198"/>
      <c r="J230" s="198"/>
    </row>
    <row r="231" spans="1:10" s="119" customFormat="1" ht="11.25" customHeight="1" thickBot="1">
      <c r="A231" s="407"/>
      <c r="B231" s="407"/>
      <c r="C231" s="407"/>
      <c r="D231" s="357"/>
      <c r="E231" s="357"/>
      <c r="F231" s="357"/>
      <c r="G231" s="122"/>
      <c r="H231" s="122"/>
      <c r="I231" s="122"/>
      <c r="J231" s="122"/>
    </row>
    <row r="232" spans="1:10" ht="16.5" thickBot="1">
      <c r="A232" s="489" t="s">
        <v>156</v>
      </c>
      <c r="B232" s="490"/>
      <c r="C232" s="490"/>
      <c r="D232" s="404"/>
      <c r="E232" s="404"/>
      <c r="F232" s="494">
        <f>+F230</f>
        <v>52.524499999999996</v>
      </c>
    </row>
    <row r="233" spans="1:10" ht="11.25" customHeight="1" thickBot="1">
      <c r="G233" s="119"/>
      <c r="H233" s="119"/>
      <c r="I233" s="119"/>
      <c r="J233" s="119"/>
    </row>
    <row r="234" spans="1:10" ht="17.25" customHeight="1" thickBot="1">
      <c r="A234" s="489" t="s">
        <v>157</v>
      </c>
      <c r="B234" s="498"/>
      <c r="C234" s="498"/>
      <c r="D234" s="499"/>
      <c r="E234" s="499"/>
      <c r="F234" s="535">
        <f>+F98+F132+F211+F221+F232</f>
        <v>28806.103747695768</v>
      </c>
    </row>
    <row r="235" spans="1:10" ht="11.25" customHeight="1"/>
    <row r="236" spans="1:10">
      <c r="A236" s="408" t="s">
        <v>158</v>
      </c>
    </row>
    <row r="237" spans="1:10" ht="11.25" customHeight="1" thickBot="1"/>
    <row r="238" spans="1:10" ht="16.5" thickBot="1">
      <c r="A238" s="422" t="s">
        <v>45</v>
      </c>
      <c r="B238" s="423" t="s">
        <v>46</v>
      </c>
      <c r="C238" s="423" t="s">
        <v>39</v>
      </c>
      <c r="D238" s="424" t="s">
        <v>47</v>
      </c>
      <c r="E238" s="424" t="s">
        <v>48</v>
      </c>
      <c r="F238" s="425" t="s">
        <v>420</v>
      </c>
      <c r="J238" s="118"/>
    </row>
    <row r="239" spans="1:10">
      <c r="A239" s="360" t="s">
        <v>159</v>
      </c>
      <c r="B239" s="426" t="s">
        <v>9</v>
      </c>
      <c r="C239" s="437">
        <f>'4.BDI'!B14*100</f>
        <v>26.36</v>
      </c>
      <c r="D239" s="456">
        <f>+F234</f>
        <v>28806.103747695768</v>
      </c>
      <c r="E239" s="428">
        <f>C239*D239/100</f>
        <v>7593.2889478926045</v>
      </c>
      <c r="F239" s="429"/>
      <c r="J239" s="118"/>
    </row>
    <row r="240" spans="1:10" ht="16.5" thickBot="1">
      <c r="A240" s="849" t="str">
        <f>F238</f>
        <v>Total (R$)</v>
      </c>
      <c r="B240" s="844"/>
      <c r="C240" s="844"/>
      <c r="D240" s="844"/>
      <c r="E240" s="844"/>
      <c r="F240" s="496">
        <f>+E239</f>
        <v>7593.2889478926045</v>
      </c>
      <c r="J240" s="118"/>
    </row>
    <row r="241" spans="1:10" ht="11.25" customHeight="1" thickBot="1">
      <c r="J241" s="118"/>
    </row>
    <row r="242" spans="1:10" ht="16.5" thickBot="1">
      <c r="A242" s="489" t="s">
        <v>160</v>
      </c>
      <c r="B242" s="498"/>
      <c r="C242" s="498"/>
      <c r="D242" s="499"/>
      <c r="E242" s="499"/>
      <c r="F242" s="535">
        <f>F240</f>
        <v>7593.2889478926045</v>
      </c>
      <c r="J242" s="118"/>
    </row>
    <row r="243" spans="1:10">
      <c r="A243" s="408"/>
      <c r="B243" s="408"/>
      <c r="C243" s="408"/>
      <c r="D243" s="491"/>
      <c r="E243" s="491"/>
      <c r="F243" s="492"/>
      <c r="J243" s="118"/>
    </row>
    <row r="244" spans="1:10" ht="11.25" customHeight="1" thickBot="1">
      <c r="J244" s="118"/>
    </row>
    <row r="245" spans="1:10" ht="24.75" customHeight="1" thickBot="1">
      <c r="A245" s="489" t="s">
        <v>161</v>
      </c>
      <c r="B245" s="498"/>
      <c r="C245" s="498"/>
      <c r="D245" s="499"/>
      <c r="E245" s="499"/>
      <c r="F245" s="535">
        <f>F234+F242</f>
        <v>36399.392695588373</v>
      </c>
      <c r="G245" s="196"/>
      <c r="H245" s="197"/>
      <c r="I245" s="198"/>
      <c r="J245" s="118"/>
    </row>
    <row r="246" spans="1:10" ht="12" customHeight="1">
      <c r="A246" s="408"/>
      <c r="B246" s="408"/>
      <c r="D246" s="491"/>
      <c r="E246" s="491"/>
      <c r="F246" s="491"/>
    </row>
    <row r="247" spans="1:10" ht="12.6" customHeight="1">
      <c r="A247" s="408"/>
      <c r="B247" s="408"/>
      <c r="D247" s="491"/>
      <c r="E247" s="491"/>
      <c r="F247" s="491"/>
    </row>
    <row r="249" spans="1:10" ht="16.149999999999999" hidden="1" customHeight="1">
      <c r="A249" s="460" t="s">
        <v>162</v>
      </c>
      <c r="B249" s="553"/>
      <c r="C249" s="553"/>
      <c r="D249" s="554">
        <v>0</v>
      </c>
      <c r="E249" s="555" t="s">
        <v>163</v>
      </c>
    </row>
    <row r="250" spans="1:10" hidden="1"/>
    <row r="251" spans="1:10" ht="25.5" hidden="1" customHeight="1">
      <c r="A251" s="489" t="s">
        <v>164</v>
      </c>
      <c r="B251" s="490"/>
      <c r="C251" s="490"/>
      <c r="D251" s="404"/>
      <c r="E251" s="556" t="s">
        <v>165</v>
      </c>
      <c r="F251" s="557" t="str">
        <f>IFERROR(F245/D249,"-")</f>
        <v>-</v>
      </c>
    </row>
    <row r="252" spans="1:10" ht="12.6" hidden="1" customHeight="1">
      <c r="A252" s="408"/>
      <c r="B252" s="408"/>
      <c r="C252" s="408"/>
      <c r="D252" s="491"/>
      <c r="E252" s="491"/>
      <c r="F252" s="491"/>
    </row>
    <row r="253" spans="1:10" ht="9.75" customHeight="1">
      <c r="A253" s="507"/>
      <c r="B253" s="357"/>
      <c r="C253" s="357"/>
    </row>
    <row r="254" spans="1:10" ht="9.75" customHeight="1">
      <c r="A254" s="507"/>
      <c r="B254" s="357"/>
      <c r="C254" s="357"/>
    </row>
    <row r="255" spans="1:10" ht="9.75" customHeight="1">
      <c r="A255" s="507"/>
      <c r="B255" s="357"/>
      <c r="C255" s="357"/>
    </row>
    <row r="285" spans="4:6" ht="9" customHeight="1">
      <c r="D285" s="407"/>
      <c r="E285" s="407"/>
      <c r="F285" s="407"/>
    </row>
  </sheetData>
  <mergeCells count="57">
    <mergeCell ref="A230:B230"/>
    <mergeCell ref="A240:E240"/>
    <mergeCell ref="A194:E194"/>
    <mergeCell ref="A199:E199"/>
    <mergeCell ref="A208:E208"/>
    <mergeCell ref="A219:E219"/>
    <mergeCell ref="A221:E221"/>
    <mergeCell ref="A119:F119"/>
    <mergeCell ref="A120:F120"/>
    <mergeCell ref="A130:C130"/>
    <mergeCell ref="A152:C152"/>
    <mergeCell ref="A168:C168"/>
    <mergeCell ref="A101:F101"/>
    <mergeCell ref="A102:F102"/>
    <mergeCell ref="A103:F103"/>
    <mergeCell ref="A117:C117"/>
    <mergeCell ref="A118:F118"/>
    <mergeCell ref="A91:F91"/>
    <mergeCell ref="A92:F92"/>
    <mergeCell ref="A96:C96"/>
    <mergeCell ref="A99:F99"/>
    <mergeCell ref="A100:F100"/>
    <mergeCell ref="A77:F77"/>
    <mergeCell ref="A83:E83"/>
    <mergeCell ref="A84:F84"/>
    <mergeCell ref="A85:F85"/>
    <mergeCell ref="A90:C90"/>
    <mergeCell ref="A65:F65"/>
    <mergeCell ref="A71:D71"/>
    <mergeCell ref="A73:D73"/>
    <mergeCell ref="A75:C75"/>
    <mergeCell ref="A76:F76"/>
    <mergeCell ref="A53:F53"/>
    <mergeCell ref="A59:D59"/>
    <mergeCell ref="A61:D61"/>
    <mergeCell ref="A63:C63"/>
    <mergeCell ref="A64:F64"/>
    <mergeCell ref="A40:D40"/>
    <mergeCell ref="A45:D45"/>
    <mergeCell ref="A50:F50"/>
    <mergeCell ref="A51:F51"/>
    <mergeCell ref="A52:F52"/>
    <mergeCell ref="A13:F13"/>
    <mergeCell ref="A14:F14"/>
    <mergeCell ref="A16:F16"/>
    <mergeCell ref="A24:C24"/>
    <mergeCell ref="A39:E39"/>
    <mergeCell ref="A6:F6"/>
    <mergeCell ref="A7:F7"/>
    <mergeCell ref="A8:F8"/>
    <mergeCell ref="A9:F9"/>
    <mergeCell ref="A12:F12"/>
    <mergeCell ref="A1:F1"/>
    <mergeCell ref="A2:F2"/>
    <mergeCell ref="A3:F3"/>
    <mergeCell ref="A4:F4"/>
    <mergeCell ref="A5:F5"/>
  </mergeCells>
  <phoneticPr fontId="56" type="noConversion"/>
  <hyperlinks>
    <hyperlink ref="A154" location="AbaRemun" display="3.1.2. Remuneração do Capital" xr:uid="{00000000-0004-0000-0200-000000000000}"/>
    <hyperlink ref="A138" location="AbaDeprec" display="3.1.1. Depreciação" xr:uid="{00000000-0004-0000-0200-000001000000}"/>
  </hyperlinks>
  <pageMargins left="0.90551181102362199" right="0.511811023622047" top="0.74803149606299202" bottom="0.74803149606299202" header="0.31496062992126" footer="0.31496062992126"/>
  <pageSetup paperSize="9" scale="64" fitToHeight="0" orientation="portrait" r:id="rId1"/>
  <headerFooter alignWithMargins="0">
    <oddFooter>&amp;R&amp;P de &amp;N</oddFooter>
  </headerFooter>
  <rowBreaks count="4" manualBreakCount="4">
    <brk id="50" max="5" man="1"/>
    <brk id="76" max="5" man="1"/>
    <brk id="133" max="5" man="1"/>
    <brk id="195" max="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83"/>
  <sheetViews>
    <sheetView view="pageBreakPreview" topLeftCell="A214" zoomScaleNormal="100" workbookViewId="0">
      <selection activeCell="B181" sqref="B181"/>
    </sheetView>
  </sheetViews>
  <sheetFormatPr defaultColWidth="9.140625" defaultRowHeight="14.25"/>
  <cols>
    <col min="1" max="1" width="49.28515625" style="407" customWidth="1"/>
    <col min="2" max="2" width="19.85546875" style="407" customWidth="1"/>
    <col min="3" max="3" width="14.7109375" style="407" customWidth="1"/>
    <col min="4" max="4" width="14.7109375" style="357" customWidth="1"/>
    <col min="5" max="5" width="18.140625" style="357" customWidth="1"/>
    <col min="6" max="6" width="13.28515625" style="357" customWidth="1"/>
    <col min="7" max="7" width="28.140625" style="357" customWidth="1"/>
    <col min="8" max="8" width="14.28515625" style="407" customWidth="1"/>
    <col min="9" max="9" width="16.85546875" style="407" customWidth="1"/>
    <col min="10" max="10" width="13.42578125" style="407" customWidth="1"/>
    <col min="11" max="11" width="13.85546875" style="407" customWidth="1"/>
    <col min="12" max="16384" width="9.140625" style="407"/>
  </cols>
  <sheetData>
    <row r="1" spans="1:6" ht="15" hidden="1">
      <c r="A1" s="793" t="s">
        <v>0</v>
      </c>
      <c r="B1" s="793"/>
      <c r="C1" s="793"/>
      <c r="D1" s="793"/>
      <c r="E1" s="793"/>
      <c r="F1" s="793"/>
    </row>
    <row r="2" spans="1:6" ht="15.6" hidden="1" customHeight="1">
      <c r="A2" s="794" t="s">
        <v>421</v>
      </c>
      <c r="B2" s="794"/>
      <c r="C2" s="794"/>
      <c r="D2" s="794"/>
      <c r="E2" s="794"/>
      <c r="F2" s="794"/>
    </row>
    <row r="3" spans="1:6" ht="15.6" hidden="1" customHeight="1">
      <c r="A3" s="795" t="s">
        <v>422</v>
      </c>
      <c r="B3" s="795"/>
      <c r="C3" s="795"/>
      <c r="D3" s="795"/>
      <c r="E3" s="795"/>
      <c r="F3" s="795"/>
    </row>
    <row r="4" spans="1:6" ht="15.6" customHeight="1">
      <c r="A4" s="796" t="s">
        <v>2</v>
      </c>
      <c r="B4" s="797"/>
      <c r="C4" s="797"/>
      <c r="D4" s="797"/>
      <c r="E4" s="797"/>
      <c r="F4" s="798"/>
    </row>
    <row r="5" spans="1:6" ht="16.5" customHeight="1" thickBot="1">
      <c r="A5" s="799" t="s">
        <v>3</v>
      </c>
      <c r="B5" s="800"/>
      <c r="C5" s="800"/>
      <c r="D5" s="800"/>
      <c r="E5" s="800"/>
      <c r="F5" s="801"/>
    </row>
    <row r="6" spans="1:6" ht="15">
      <c r="A6" s="854" t="s">
        <v>166</v>
      </c>
      <c r="B6" s="855"/>
      <c r="C6" s="855"/>
      <c r="D6" s="855"/>
      <c r="E6" s="855"/>
      <c r="F6" s="856"/>
    </row>
    <row r="7" spans="1:6" ht="21.75" customHeight="1">
      <c r="A7" s="805" t="s">
        <v>5</v>
      </c>
      <c r="B7" s="806"/>
      <c r="C7" s="806"/>
      <c r="D7" s="806"/>
      <c r="E7" s="806"/>
      <c r="F7" s="807"/>
    </row>
    <row r="8" spans="1:6" ht="39.75" customHeight="1">
      <c r="A8" s="857" t="s">
        <v>446</v>
      </c>
      <c r="B8" s="811"/>
      <c r="C8" s="811"/>
      <c r="D8" s="811"/>
      <c r="E8" s="811"/>
      <c r="F8" s="811"/>
    </row>
    <row r="9" spans="1:6" ht="21.75" customHeight="1">
      <c r="A9" s="810" t="s">
        <v>457</v>
      </c>
      <c r="B9" s="811"/>
      <c r="C9" s="811"/>
      <c r="D9" s="811"/>
      <c r="E9" s="811"/>
      <c r="F9" s="811"/>
    </row>
    <row r="10" spans="1:6" ht="21.75" customHeight="1">
      <c r="A10" s="124" t="s">
        <v>448</v>
      </c>
      <c r="B10" s="747" t="s">
        <v>447</v>
      </c>
      <c r="C10" s="500"/>
      <c r="D10" s="500"/>
      <c r="E10" s="500"/>
      <c r="F10" s="500"/>
    </row>
    <row r="11" spans="1:6" ht="21.75" customHeight="1">
      <c r="A11" s="501" t="s">
        <v>35</v>
      </c>
      <c r="B11" s="747" t="s">
        <v>447</v>
      </c>
      <c r="C11" s="500"/>
      <c r="D11" s="500"/>
      <c r="E11" s="500"/>
      <c r="F11" s="500"/>
    </row>
    <row r="12" spans="1:6" ht="21.75" customHeight="1">
      <c r="A12" s="813" t="s">
        <v>452</v>
      </c>
      <c r="B12" s="795"/>
      <c r="C12" s="795"/>
      <c r="D12" s="795"/>
      <c r="E12" s="795"/>
      <c r="F12" s="795"/>
    </row>
    <row r="13" spans="1:6" ht="21.75" customHeight="1">
      <c r="A13" s="813" t="s">
        <v>453</v>
      </c>
      <c r="B13" s="795"/>
      <c r="C13" s="795"/>
      <c r="D13" s="795"/>
      <c r="E13" s="795"/>
      <c r="F13" s="795"/>
    </row>
    <row r="14" spans="1:6" ht="21.75" customHeight="1">
      <c r="A14" s="813" t="s">
        <v>454</v>
      </c>
      <c r="B14" s="795"/>
      <c r="C14" s="795"/>
      <c r="D14" s="795"/>
      <c r="E14" s="795"/>
      <c r="F14" s="795"/>
    </row>
    <row r="15" spans="1:6" ht="10.9" customHeight="1">
      <c r="A15" s="502"/>
      <c r="B15" s="500"/>
      <c r="C15" s="500"/>
      <c r="D15" s="503"/>
      <c r="E15" s="503"/>
      <c r="F15" s="504"/>
    </row>
    <row r="16" spans="1:6" ht="15.75" customHeight="1">
      <c r="A16" s="814" t="s">
        <v>6</v>
      </c>
      <c r="B16" s="815"/>
      <c r="C16" s="815"/>
      <c r="D16" s="815"/>
      <c r="E16" s="815"/>
      <c r="F16" s="816"/>
    </row>
    <row r="17" spans="1:9" ht="15.75" customHeight="1">
      <c r="A17" s="386" t="s">
        <v>7</v>
      </c>
      <c r="B17" s="387"/>
      <c r="C17" s="387"/>
      <c r="D17" s="388"/>
      <c r="E17" s="389" t="s">
        <v>8</v>
      </c>
      <c r="F17" s="390" t="s">
        <v>9</v>
      </c>
    </row>
    <row r="18" spans="1:9" s="408" customFormat="1" ht="15.75" customHeight="1">
      <c r="A18" s="505" t="str">
        <f>A51</f>
        <v>1. Mão-de-obra</v>
      </c>
      <c r="B18" s="506"/>
      <c r="C18" s="393"/>
      <c r="D18" s="393"/>
      <c r="E18" s="394">
        <f>SUM(E19:E23)</f>
        <v>8083.4056734693859</v>
      </c>
      <c r="F18" s="395">
        <f t="shared" ref="F18:F27" si="0">IFERROR(E18/$E$36,0)</f>
        <v>0.24352769598751325</v>
      </c>
      <c r="G18" s="507"/>
    </row>
    <row r="19" spans="1:9" ht="15.75" customHeight="1">
      <c r="A19" s="508" t="str">
        <f>A53</f>
        <v>1.1. Coletor Turno Dia</v>
      </c>
      <c r="B19" s="509"/>
      <c r="C19" s="398"/>
      <c r="D19" s="398"/>
      <c r="E19" s="399">
        <f>F63</f>
        <v>4446.9856961321921</v>
      </c>
      <c r="F19" s="400">
        <f t="shared" si="0"/>
        <v>0.13397375121514765</v>
      </c>
      <c r="I19" s="558"/>
    </row>
    <row r="20" spans="1:9" ht="15.75" customHeight="1">
      <c r="A20" s="508" t="str">
        <f>A66</f>
        <v>1.2. Motorista Turno do Dia</v>
      </c>
      <c r="B20" s="509"/>
      <c r="C20" s="398"/>
      <c r="D20" s="398"/>
      <c r="E20" s="399">
        <f>F76</f>
        <v>2504.9724788756548</v>
      </c>
      <c r="F20" s="400">
        <f t="shared" si="0"/>
        <v>7.5466975299149364E-2</v>
      </c>
    </row>
    <row r="21" spans="1:9" ht="15.75" customHeight="1">
      <c r="A21" s="508" t="str">
        <f>A78</f>
        <v>1.5. Vale Transporte</v>
      </c>
      <c r="B21" s="509"/>
      <c r="C21" s="398"/>
      <c r="D21" s="398"/>
      <c r="E21" s="399">
        <f>F84</f>
        <v>155.83513846153852</v>
      </c>
      <c r="F21" s="400">
        <f t="shared" si="0"/>
        <v>4.6948246514448939E-3</v>
      </c>
    </row>
    <row r="22" spans="1:9" ht="15.75" customHeight="1">
      <c r="A22" s="508" t="str">
        <f>A86</f>
        <v>1.6. Vale-refeição (diário)</v>
      </c>
      <c r="B22" s="509"/>
      <c r="C22" s="398"/>
      <c r="D22" s="398"/>
      <c r="E22" s="399">
        <f>F90</f>
        <v>282</v>
      </c>
      <c r="F22" s="400">
        <f t="shared" si="0"/>
        <v>8.4957767855047672E-3</v>
      </c>
    </row>
    <row r="23" spans="1:9" ht="15.75" customHeight="1">
      <c r="A23" s="508" t="str">
        <f>A92</f>
        <v>1.7. Auxílio Alimentação (mensal)</v>
      </c>
      <c r="B23" s="509"/>
      <c r="C23" s="398"/>
      <c r="D23" s="398"/>
      <c r="E23" s="399">
        <f>F96</f>
        <v>693.61235999999997</v>
      </c>
      <c r="F23" s="400">
        <f t="shared" si="0"/>
        <v>2.0896368036266579E-2</v>
      </c>
    </row>
    <row r="24" spans="1:9" s="408" customFormat="1" ht="15.75" customHeight="1">
      <c r="A24" s="817" t="str">
        <f>A100</f>
        <v>2. Uniformes e Equipamentos de Proteção Individual</v>
      </c>
      <c r="B24" s="818"/>
      <c r="C24" s="818"/>
      <c r="D24" s="393"/>
      <c r="E24" s="394">
        <f>F132</f>
        <v>325.44186076666665</v>
      </c>
      <c r="F24" s="395">
        <f t="shared" si="0"/>
        <v>9.8045439919607139E-3</v>
      </c>
      <c r="G24" s="507"/>
    </row>
    <row r="25" spans="1:9" s="408" customFormat="1" ht="15.75" customHeight="1">
      <c r="A25" s="391" t="str">
        <f>A134</f>
        <v>3. Veículos e Equipamentos</v>
      </c>
      <c r="B25" s="392"/>
      <c r="C25" s="393"/>
      <c r="D25" s="393"/>
      <c r="E25" s="394">
        <f>F211</f>
        <v>17784.904839550854</v>
      </c>
      <c r="F25" s="395">
        <f t="shared" si="0"/>
        <v>0.53580348109314735</v>
      </c>
      <c r="G25" s="507"/>
    </row>
    <row r="26" spans="1:9" ht="15.75" customHeight="1">
      <c r="A26" s="396" t="str">
        <f>A136</f>
        <v>3.1. Veículo Coletor Compactador 15 m³(mínimo)</v>
      </c>
      <c r="B26" s="397"/>
      <c r="C26" s="398"/>
      <c r="D26" s="398"/>
      <c r="E26" s="399">
        <f>SUM(E27:E32)</f>
        <v>17784.904839550854</v>
      </c>
      <c r="F26" s="400">
        <f t="shared" si="0"/>
        <v>0.53580348109314735</v>
      </c>
    </row>
    <row r="27" spans="1:9" ht="15.75" customHeight="1">
      <c r="A27" s="396" t="str">
        <f>A138</f>
        <v>3.1.1. Depreciação</v>
      </c>
      <c r="B27" s="397"/>
      <c r="C27" s="398"/>
      <c r="D27" s="398"/>
      <c r="E27" s="399">
        <f>F152</f>
        <v>1685.1474250000003</v>
      </c>
      <c r="F27" s="400">
        <f t="shared" si="0"/>
        <v>5.0768214090312548E-2</v>
      </c>
    </row>
    <row r="28" spans="1:9" ht="15.75" customHeight="1">
      <c r="A28" s="396" t="str">
        <f>A154</f>
        <v>3.1.2. Remuneração do Capital</v>
      </c>
      <c r="B28" s="397"/>
      <c r="C28" s="398"/>
      <c r="D28" s="398"/>
      <c r="E28" s="399">
        <f>F168</f>
        <v>2557.8821222500005</v>
      </c>
      <c r="F28" s="400">
        <f>IFERROR(E28/$E$36,0)</f>
        <v>7.7060977142798665E-2</v>
      </c>
    </row>
    <row r="29" spans="1:9" ht="15.75" customHeight="1">
      <c r="A29" s="396" t="str">
        <f>A170</f>
        <v>3.1.3. Impostos e Seguros</v>
      </c>
      <c r="B29" s="397"/>
      <c r="C29" s="398"/>
      <c r="D29" s="398"/>
      <c r="E29" s="399">
        <f>F176</f>
        <v>768.21792974999994</v>
      </c>
      <c r="F29" s="400">
        <f t="shared" ref="F29:F35" si="1">IFERROR(E29/$E$36,0)</f>
        <v>2.314400019070419E-2</v>
      </c>
    </row>
    <row r="30" spans="1:9" ht="15.75" customHeight="1">
      <c r="A30" s="396" t="str">
        <f>A178</f>
        <v>3.1.4. Consumos</v>
      </c>
      <c r="B30" s="397"/>
      <c r="C30" s="398"/>
      <c r="D30" s="398"/>
      <c r="E30" s="399">
        <f>F194</f>
        <v>9659.9169999999995</v>
      </c>
      <c r="F30" s="400">
        <f t="shared" si="1"/>
        <v>0.29102304467554202</v>
      </c>
    </row>
    <row r="31" spans="1:9" ht="15.75" customHeight="1">
      <c r="A31" s="396" t="str">
        <f>A196</f>
        <v>3.1.5. Manutenção</v>
      </c>
      <c r="B31" s="397"/>
      <c r="C31" s="398"/>
      <c r="D31" s="398"/>
      <c r="E31" s="399">
        <f>F199</f>
        <v>2241.8919999999998</v>
      </c>
      <c r="F31" s="400">
        <f t="shared" si="1"/>
        <v>6.7541184429818629E-2</v>
      </c>
    </row>
    <row r="32" spans="1:9" ht="15.75" customHeight="1">
      <c r="A32" s="396" t="str">
        <f>A201</f>
        <v>3.1.6. Pneus</v>
      </c>
      <c r="B32" s="397"/>
      <c r="C32" s="398"/>
      <c r="D32" s="398"/>
      <c r="E32" s="399">
        <f>F208</f>
        <v>871.84836255085713</v>
      </c>
      <c r="F32" s="400">
        <f t="shared" si="1"/>
        <v>2.6266060563971336E-2</v>
      </c>
    </row>
    <row r="33" spans="1:8" s="408" customFormat="1" ht="15.75" customHeight="1">
      <c r="A33" s="391" t="str">
        <f>A213</f>
        <v>4. Ferramentas e Materiais de Consumo</v>
      </c>
      <c r="B33" s="392"/>
      <c r="C33" s="393"/>
      <c r="D33" s="393"/>
      <c r="E33" s="394">
        <f>F221</f>
        <v>23.505833333333314</v>
      </c>
      <c r="F33" s="395">
        <f t="shared" si="1"/>
        <v>7.0815713885559331E-4</v>
      </c>
      <c r="G33" s="507"/>
    </row>
    <row r="34" spans="1:8" s="408" customFormat="1" ht="15.75" customHeight="1">
      <c r="A34" s="391" t="str">
        <f>A223</f>
        <v>5. Monitoramento da Frota</v>
      </c>
      <c r="B34" s="392"/>
      <c r="C34" s="393"/>
      <c r="D34" s="393"/>
      <c r="E34" s="394">
        <f>F232</f>
        <v>51.309750000000001</v>
      </c>
      <c r="F34" s="395">
        <f>IFERROR(E34/$E$36,0)</f>
        <v>1.5458020670923874E-3</v>
      </c>
      <c r="G34" s="507"/>
    </row>
    <row r="35" spans="1:8" s="408" customFormat="1" ht="15.75" customHeight="1">
      <c r="A35" s="391" t="str">
        <f>A236</f>
        <v>6. Benefícios e Despesas Indiretas - BDI</v>
      </c>
      <c r="B35" s="392"/>
      <c r="C35" s="393"/>
      <c r="D35" s="393"/>
      <c r="E35" s="401">
        <f>F242</f>
        <v>6924.3945134968953</v>
      </c>
      <c r="F35" s="395">
        <f t="shared" si="1"/>
        <v>0.20861031972143088</v>
      </c>
      <c r="G35" s="507"/>
    </row>
    <row r="36" spans="1:8" ht="15.75" customHeight="1">
      <c r="A36" s="402" t="s">
        <v>36</v>
      </c>
      <c r="B36" s="403"/>
      <c r="C36" s="404"/>
      <c r="D36" s="404"/>
      <c r="E36" s="405">
        <f>E18+E24+E25+E33+E34+E35</f>
        <v>33192.962470617131</v>
      </c>
      <c r="F36" s="406">
        <f>F18+F24+F25+F33+F34+F35</f>
        <v>1.0000000000000002</v>
      </c>
    </row>
    <row r="39" spans="1:8" ht="15" customHeight="1">
      <c r="A39" s="819" t="s">
        <v>37</v>
      </c>
      <c r="B39" s="820"/>
      <c r="C39" s="820"/>
      <c r="D39" s="820"/>
      <c r="E39" s="821"/>
    </row>
    <row r="40" spans="1:8" ht="15" customHeight="1">
      <c r="A40" s="822" t="s">
        <v>38</v>
      </c>
      <c r="B40" s="823"/>
      <c r="C40" s="823"/>
      <c r="D40" s="823"/>
      <c r="E40" s="510" t="s">
        <v>39</v>
      </c>
    </row>
    <row r="41" spans="1:8" ht="15" customHeight="1">
      <c r="A41" s="511" t="str">
        <f>+A53</f>
        <v>1.1. Coletor Turno Dia</v>
      </c>
      <c r="B41" s="410"/>
      <c r="C41" s="410"/>
      <c r="D41" s="411"/>
      <c r="E41" s="512">
        <f>C62</f>
        <v>2</v>
      </c>
    </row>
    <row r="42" spans="1:8" ht="15" customHeight="1">
      <c r="A42" s="511" t="str">
        <f>+A66</f>
        <v>1.2. Motorista Turno do Dia</v>
      </c>
      <c r="B42" s="410"/>
      <c r="C42" s="410"/>
      <c r="D42" s="411"/>
      <c r="E42" s="512">
        <f>C75</f>
        <v>1</v>
      </c>
    </row>
    <row r="43" spans="1:8" ht="15" customHeight="1">
      <c r="A43" s="513" t="s">
        <v>40</v>
      </c>
      <c r="B43" s="514"/>
      <c r="C43" s="514"/>
      <c r="D43" s="411"/>
      <c r="E43" s="515">
        <f>SUM(E41:E42)</f>
        <v>3</v>
      </c>
    </row>
    <row r="44" spans="1:8" ht="15" customHeight="1">
      <c r="A44" s="513"/>
      <c r="B44" s="514"/>
      <c r="C44" s="410"/>
      <c r="D44" s="410"/>
      <c r="E44" s="516"/>
    </row>
    <row r="45" spans="1:8" ht="15" customHeight="1">
      <c r="A45" s="824" t="s">
        <v>41</v>
      </c>
      <c r="B45" s="825"/>
      <c r="C45" s="825"/>
      <c r="D45" s="825"/>
      <c r="E45" s="510" t="s">
        <v>39</v>
      </c>
      <c r="F45" s="407"/>
    </row>
    <row r="46" spans="1:8" ht="15" customHeight="1">
      <c r="A46" s="413" t="str">
        <f>+A136</f>
        <v>3.1. Veículo Coletor Compactador 15 m³(mínimo)</v>
      </c>
      <c r="B46" s="414"/>
      <c r="C46" s="414"/>
      <c r="D46" s="415"/>
      <c r="E46" s="416">
        <f>C151</f>
        <v>1</v>
      </c>
      <c r="F46" s="407"/>
    </row>
    <row r="47" spans="1:8" ht="15" customHeight="1">
      <c r="A47" s="378"/>
      <c r="B47" s="378"/>
      <c r="C47" s="378"/>
      <c r="D47" s="407"/>
      <c r="E47" s="517"/>
      <c r="F47" s="407"/>
    </row>
    <row r="48" spans="1:8">
      <c r="A48" s="378"/>
      <c r="B48" s="378"/>
      <c r="C48" s="378"/>
      <c r="D48" s="407"/>
      <c r="E48" s="417"/>
      <c r="F48" s="407"/>
      <c r="H48" s="559"/>
    </row>
    <row r="49" spans="1:11" s="408" customFormat="1" ht="15.75" customHeight="1">
      <c r="A49" s="418" t="s">
        <v>167</v>
      </c>
      <c r="B49" s="419">
        <v>0.4773</v>
      </c>
      <c r="C49" s="178" t="s">
        <v>444</v>
      </c>
      <c r="E49" s="420"/>
      <c r="G49" s="507"/>
    </row>
    <row r="50" spans="1:11" ht="15.75" customHeight="1">
      <c r="A50" s="826"/>
      <c r="B50" s="826"/>
      <c r="C50" s="826"/>
      <c r="D50" s="826"/>
      <c r="E50" s="826"/>
      <c r="F50" s="826"/>
    </row>
    <row r="51" spans="1:11" ht="13.15" customHeight="1">
      <c r="A51" s="827" t="s">
        <v>43</v>
      </c>
      <c r="B51" s="827"/>
      <c r="C51" s="827"/>
      <c r="D51" s="827"/>
      <c r="E51" s="827"/>
      <c r="F51" s="827"/>
    </row>
    <row r="52" spans="1:11" ht="11.25" customHeight="1">
      <c r="A52" s="794"/>
      <c r="B52" s="794"/>
      <c r="C52" s="794"/>
      <c r="D52" s="794"/>
      <c r="E52" s="794"/>
      <c r="F52" s="794"/>
      <c r="G52" s="518"/>
    </row>
    <row r="53" spans="1:11" s="357" customFormat="1" ht="13.9" customHeight="1">
      <c r="A53" s="828" t="s">
        <v>44</v>
      </c>
      <c r="B53" s="828"/>
      <c r="C53" s="828"/>
      <c r="D53" s="828"/>
      <c r="E53" s="828"/>
      <c r="F53" s="828"/>
      <c r="H53" s="407"/>
      <c r="I53" s="407"/>
      <c r="J53" s="407"/>
    </row>
    <row r="54" spans="1:11" s="357" customFormat="1" ht="13.9" customHeight="1">
      <c r="A54" s="422" t="s">
        <v>45</v>
      </c>
      <c r="B54" s="423" t="s">
        <v>46</v>
      </c>
      <c r="C54" s="423" t="s">
        <v>39</v>
      </c>
      <c r="D54" s="424" t="s">
        <v>47</v>
      </c>
      <c r="E54" s="424" t="s">
        <v>48</v>
      </c>
      <c r="F54" s="425" t="s">
        <v>420</v>
      </c>
      <c r="H54" s="407"/>
      <c r="I54" s="407"/>
      <c r="J54" s="407"/>
    </row>
    <row r="55" spans="1:11" s="357" customFormat="1" ht="13.15" customHeight="1">
      <c r="A55" s="360" t="s">
        <v>200</v>
      </c>
      <c r="B55" s="426" t="s">
        <v>50</v>
      </c>
      <c r="C55" s="426">
        <v>1</v>
      </c>
      <c r="D55" s="427">
        <v>2082.31</v>
      </c>
      <c r="E55" s="456">
        <f>C55*D55</f>
        <v>2082.31</v>
      </c>
      <c r="F55" s="519"/>
      <c r="G55" s="564"/>
      <c r="H55" s="560"/>
      <c r="I55" s="561"/>
      <c r="J55" s="562"/>
      <c r="K55" s="562"/>
    </row>
    <row r="56" spans="1:11" s="357" customFormat="1">
      <c r="A56" s="360" t="s">
        <v>201</v>
      </c>
      <c r="B56" s="426" t="s">
        <v>50</v>
      </c>
      <c r="C56" s="426">
        <v>1</v>
      </c>
      <c r="D56" s="427">
        <v>1621</v>
      </c>
      <c r="E56" s="456"/>
      <c r="F56" s="519"/>
      <c r="H56" s="407"/>
      <c r="I56" s="407"/>
      <c r="J56" s="407"/>
      <c r="K56" s="563"/>
    </row>
    <row r="57" spans="1:11" s="357" customFormat="1" ht="13.15" customHeight="1">
      <c r="A57" s="380" t="s">
        <v>60</v>
      </c>
      <c r="B57" s="430"/>
      <c r="C57" s="520">
        <v>1</v>
      </c>
      <c r="D57" s="435"/>
      <c r="E57" s="435"/>
      <c r="F57" s="519"/>
      <c r="H57" s="407"/>
      <c r="I57" s="407"/>
      <c r="J57" s="407"/>
      <c r="K57" s="563"/>
    </row>
    <row r="58" spans="1:11" s="357" customFormat="1">
      <c r="A58" s="380" t="s">
        <v>52</v>
      </c>
      <c r="B58" s="430" t="s">
        <v>9</v>
      </c>
      <c r="C58" s="430">
        <v>40</v>
      </c>
      <c r="D58" s="432">
        <f>IF(C57=2,SUM(E55:E56),IF(C57=1,(SUM(E55:E56))*D56/D55,0))</f>
        <v>1621</v>
      </c>
      <c r="E58" s="435">
        <f>C58*D58/100</f>
        <v>648.4</v>
      </c>
      <c r="F58" s="519"/>
      <c r="H58" s="407"/>
      <c r="I58" s="407"/>
      <c r="J58" s="407"/>
      <c r="K58" s="563"/>
    </row>
    <row r="59" spans="1:11" s="357" customFormat="1" ht="15">
      <c r="A59" s="829" t="s">
        <v>53</v>
      </c>
      <c r="B59" s="830"/>
      <c r="C59" s="830"/>
      <c r="D59" s="831"/>
      <c r="E59" s="521">
        <f>SUM(E55:E58)</f>
        <v>2730.71</v>
      </c>
      <c r="F59" s="519"/>
      <c r="H59" s="407"/>
      <c r="I59" s="407"/>
      <c r="J59" s="407"/>
      <c r="K59" s="563"/>
    </row>
    <row r="60" spans="1:11" s="357" customFormat="1">
      <c r="A60" s="380" t="s">
        <v>54</v>
      </c>
      <c r="B60" s="430" t="s">
        <v>9</v>
      </c>
      <c r="C60" s="437">
        <f>'2.Encargos Sociais'!$C$35*100</f>
        <v>70.595951999999997</v>
      </c>
      <c r="D60" s="435">
        <f>E59</f>
        <v>2730.71</v>
      </c>
      <c r="E60" s="435">
        <f>D60*C60/100</f>
        <v>1927.7707208591999</v>
      </c>
      <c r="F60" s="519"/>
      <c r="H60" s="407"/>
      <c r="I60" s="407"/>
      <c r="J60" s="407"/>
      <c r="K60" s="563"/>
    </row>
    <row r="61" spans="1:11" s="357" customFormat="1" ht="15">
      <c r="A61" s="829" t="s">
        <v>55</v>
      </c>
      <c r="B61" s="832"/>
      <c r="C61" s="832"/>
      <c r="D61" s="833"/>
      <c r="E61" s="521">
        <f>E59+E60</f>
        <v>4658.4807208592001</v>
      </c>
      <c r="F61" s="519"/>
      <c r="H61" s="407"/>
      <c r="I61" s="407"/>
      <c r="J61" s="407"/>
      <c r="K61" s="563"/>
    </row>
    <row r="62" spans="1:11" s="357" customFormat="1">
      <c r="A62" s="522" t="s">
        <v>56</v>
      </c>
      <c r="B62" s="523" t="s">
        <v>57</v>
      </c>
      <c r="C62" s="524">
        <v>2</v>
      </c>
      <c r="D62" s="435">
        <f>E61</f>
        <v>4658.4807208592001</v>
      </c>
      <c r="E62" s="435">
        <f>C62*D62</f>
        <v>9316.9614417184002</v>
      </c>
      <c r="F62" s="519"/>
      <c r="H62" s="407"/>
      <c r="I62" s="407"/>
      <c r="J62" s="407"/>
      <c r="K62" s="563"/>
    </row>
    <row r="63" spans="1:11" s="357" customFormat="1" ht="13.9" customHeight="1">
      <c r="A63" s="834" t="s">
        <v>420</v>
      </c>
      <c r="B63" s="835"/>
      <c r="C63" s="836"/>
      <c r="D63" s="525" t="s">
        <v>58</v>
      </c>
      <c r="E63" s="458">
        <f>$B$49</f>
        <v>0.4773</v>
      </c>
      <c r="F63" s="451">
        <f>E62*E63</f>
        <v>4446.9856961321921</v>
      </c>
      <c r="H63" s="407"/>
      <c r="I63" s="407"/>
      <c r="J63" s="407"/>
      <c r="K63" s="563"/>
    </row>
    <row r="64" spans="1:11" s="357" customFormat="1" ht="11.25" customHeight="1">
      <c r="A64" s="794"/>
      <c r="B64" s="794"/>
      <c r="C64" s="794"/>
      <c r="D64" s="794"/>
      <c r="E64" s="794"/>
      <c r="F64" s="794"/>
      <c r="H64" s="407"/>
      <c r="I64" s="407"/>
      <c r="J64" s="407"/>
      <c r="K64" s="563"/>
    </row>
    <row r="65" spans="1:11" s="357" customFormat="1" ht="11.25" customHeight="1">
      <c r="A65" s="794"/>
      <c r="B65" s="794"/>
      <c r="C65" s="794"/>
      <c r="D65" s="794"/>
      <c r="E65" s="794"/>
      <c r="F65" s="794"/>
      <c r="H65" s="407"/>
      <c r="I65" s="407"/>
      <c r="J65" s="407"/>
      <c r="K65" s="563"/>
    </row>
    <row r="66" spans="1:11" s="357" customFormat="1">
      <c r="A66" s="828" t="s">
        <v>59</v>
      </c>
      <c r="B66" s="828"/>
      <c r="C66" s="828"/>
      <c r="D66" s="828"/>
      <c r="E66" s="828"/>
      <c r="F66" s="828"/>
      <c r="H66" s="407"/>
      <c r="I66" s="407"/>
      <c r="J66" s="407"/>
      <c r="K66" s="563"/>
    </row>
    <row r="67" spans="1:11" ht="13.15" customHeight="1" thickBot="1">
      <c r="A67" s="422" t="s">
        <v>45</v>
      </c>
      <c r="B67" s="423" t="s">
        <v>46</v>
      </c>
      <c r="C67" s="423" t="s">
        <v>39</v>
      </c>
      <c r="D67" s="424" t="s">
        <v>47</v>
      </c>
      <c r="E67" s="424" t="s">
        <v>48</v>
      </c>
      <c r="F67" s="425" t="s">
        <v>420</v>
      </c>
      <c r="H67" s="560"/>
      <c r="I67" s="561"/>
      <c r="J67" s="562"/>
      <c r="K67" s="562"/>
    </row>
    <row r="68" spans="1:11">
      <c r="A68" s="360" t="s">
        <v>200</v>
      </c>
      <c r="B68" s="426" t="s">
        <v>50</v>
      </c>
      <c r="C68" s="426">
        <v>1</v>
      </c>
      <c r="D68" s="427">
        <v>2428</v>
      </c>
      <c r="E68" s="456">
        <f>C68*D68</f>
        <v>2428</v>
      </c>
      <c r="F68" s="519"/>
      <c r="G68" s="564"/>
      <c r="H68" s="560"/>
      <c r="I68" s="561"/>
      <c r="J68" s="562"/>
      <c r="K68" s="562"/>
    </row>
    <row r="69" spans="1:11">
      <c r="A69" s="360" t="s">
        <v>201</v>
      </c>
      <c r="B69" s="426" t="s">
        <v>50</v>
      </c>
      <c r="C69" s="426">
        <v>1</v>
      </c>
      <c r="D69" s="427">
        <v>1621</v>
      </c>
      <c r="E69" s="456"/>
      <c r="F69" s="519"/>
      <c r="H69" s="560"/>
      <c r="I69" s="561"/>
      <c r="J69" s="562"/>
      <c r="K69" s="562"/>
    </row>
    <row r="70" spans="1:11">
      <c r="A70" s="380" t="s">
        <v>60</v>
      </c>
      <c r="B70" s="430"/>
      <c r="C70" s="520">
        <v>1</v>
      </c>
      <c r="D70" s="435"/>
      <c r="E70" s="435"/>
      <c r="F70" s="519"/>
    </row>
    <row r="71" spans="1:11">
      <c r="A71" s="380" t="s">
        <v>52</v>
      </c>
      <c r="B71" s="430" t="s">
        <v>9</v>
      </c>
      <c r="C71" s="431">
        <v>40</v>
      </c>
      <c r="D71" s="432">
        <f>IF(C70=2,SUM(E68:E69),IF(C70=1,(SUM(E68:E69))*D69/D68,0))</f>
        <v>1621</v>
      </c>
      <c r="E71" s="435">
        <f>C71*D71/100</f>
        <v>648.4</v>
      </c>
      <c r="F71" s="519"/>
    </row>
    <row r="72" spans="1:11" s="408" customFormat="1" ht="15">
      <c r="A72" s="829" t="s">
        <v>53</v>
      </c>
      <c r="B72" s="830"/>
      <c r="C72" s="830"/>
      <c r="D72" s="831"/>
      <c r="E72" s="440">
        <f>SUM(E68:E71)</f>
        <v>3076.4</v>
      </c>
      <c r="F72" s="526"/>
      <c r="G72" s="507"/>
    </row>
    <row r="73" spans="1:11">
      <c r="A73" s="380" t="s">
        <v>54</v>
      </c>
      <c r="B73" s="430" t="s">
        <v>9</v>
      </c>
      <c r="C73" s="437">
        <f>'2.Encargos Sociais'!$C$35*100</f>
        <v>70.595951999999997</v>
      </c>
      <c r="D73" s="435">
        <f>E72</f>
        <v>3076.4</v>
      </c>
      <c r="E73" s="435">
        <f>D73*C73/100</f>
        <v>2171.813867328</v>
      </c>
      <c r="F73" s="519"/>
    </row>
    <row r="74" spans="1:11" s="408" customFormat="1" ht="15">
      <c r="A74" s="829" t="s">
        <v>61</v>
      </c>
      <c r="B74" s="830"/>
      <c r="C74" s="830"/>
      <c r="D74" s="831"/>
      <c r="E74" s="440">
        <f>E72+E73</f>
        <v>5248.2138673280006</v>
      </c>
      <c r="F74" s="526"/>
      <c r="G74" s="507"/>
    </row>
    <row r="75" spans="1:11">
      <c r="A75" s="380" t="s">
        <v>56</v>
      </c>
      <c r="B75" s="430" t="s">
        <v>57</v>
      </c>
      <c r="C75" s="431">
        <v>1</v>
      </c>
      <c r="D75" s="435">
        <f>E74</f>
        <v>5248.2138673280006</v>
      </c>
      <c r="E75" s="435">
        <f>C75*D75</f>
        <v>5248.2138673280006</v>
      </c>
      <c r="F75" s="519"/>
    </row>
    <row r="76" spans="1:11" ht="15">
      <c r="A76" s="834" t="s">
        <v>420</v>
      </c>
      <c r="B76" s="835"/>
      <c r="C76" s="836"/>
      <c r="D76" s="449" t="s">
        <v>58</v>
      </c>
      <c r="E76" s="458">
        <f>$B$49</f>
        <v>0.4773</v>
      </c>
      <c r="F76" s="451">
        <f>E75*E76</f>
        <v>2504.9724788756548</v>
      </c>
    </row>
    <row r="77" spans="1:11" ht="11.25" customHeight="1">
      <c r="A77" s="794"/>
      <c r="B77" s="794"/>
      <c r="C77" s="794"/>
      <c r="D77" s="794"/>
      <c r="E77" s="794"/>
      <c r="F77" s="794"/>
    </row>
    <row r="78" spans="1:11">
      <c r="A78" s="828" t="s">
        <v>62</v>
      </c>
      <c r="B78" s="828"/>
      <c r="C78" s="828"/>
      <c r="D78" s="828"/>
      <c r="E78" s="828"/>
      <c r="F78" s="828"/>
      <c r="G78" s="407"/>
    </row>
    <row r="79" spans="1:11" ht="15">
      <c r="A79" s="422" t="s">
        <v>45</v>
      </c>
      <c r="B79" s="423" t="s">
        <v>46</v>
      </c>
      <c r="C79" s="423" t="s">
        <v>39</v>
      </c>
      <c r="D79" s="424" t="s">
        <v>47</v>
      </c>
      <c r="E79" s="424" t="s">
        <v>48</v>
      </c>
      <c r="F79" s="425" t="s">
        <v>420</v>
      </c>
      <c r="G79" s="578"/>
      <c r="H79" s="560"/>
      <c r="I79" s="561"/>
      <c r="J79" s="562"/>
      <c r="K79" s="562"/>
    </row>
    <row r="80" spans="1:11" ht="15">
      <c r="A80" s="380" t="s">
        <v>63</v>
      </c>
      <c r="B80" s="430" t="s">
        <v>51</v>
      </c>
      <c r="C80" s="485">
        <v>1</v>
      </c>
      <c r="D80" s="527">
        <v>4.7</v>
      </c>
      <c r="E80" s="433"/>
      <c r="F80" s="429"/>
      <c r="G80" s="575"/>
      <c r="H80" s="560"/>
      <c r="I80" s="561"/>
      <c r="J80" s="562"/>
      <c r="K80" s="562"/>
    </row>
    <row r="81" spans="1:11">
      <c r="A81" s="380" t="s">
        <v>64</v>
      </c>
      <c r="B81" s="430" t="s">
        <v>65</v>
      </c>
      <c r="C81" s="528">
        <v>12</v>
      </c>
      <c r="D81" s="435"/>
      <c r="E81" s="433"/>
      <c r="F81" s="434"/>
      <c r="G81" s="407"/>
    </row>
    <row r="82" spans="1:11">
      <c r="A82" s="380" t="s">
        <v>66</v>
      </c>
      <c r="B82" s="430" t="s">
        <v>67</v>
      </c>
      <c r="C82" s="529">
        <f>$C$81*2*(C62)</f>
        <v>48</v>
      </c>
      <c r="D82" s="565">
        <f>IFERROR((($C$81*2*$D$80)-(E55*0.06*C81/26))/($C$81*2),"-")</f>
        <v>2.2973346153846159</v>
      </c>
      <c r="E82" s="433">
        <f>IFERROR(C82*D82,"-")</f>
        <v>110.27206153846157</v>
      </c>
      <c r="F82" s="434"/>
      <c r="G82" s="407"/>
    </row>
    <row r="83" spans="1:11">
      <c r="A83" s="360" t="s">
        <v>68</v>
      </c>
      <c r="B83" s="426" t="s">
        <v>67</v>
      </c>
      <c r="C83" s="529">
        <f>$C$81*2*(C75)</f>
        <v>24</v>
      </c>
      <c r="D83" s="565">
        <f>IFERROR((($C$81*2*$D$80)-(E68*0.06*C81/26))/($C$81*2),"-")</f>
        <v>1.8984615384615389</v>
      </c>
      <c r="E83" s="428">
        <f>IFERROR(C83*D83,"-")</f>
        <v>45.563076923076935</v>
      </c>
      <c r="F83" s="434"/>
      <c r="G83" s="407"/>
    </row>
    <row r="84" spans="1:11" ht="15">
      <c r="A84" s="834" t="s">
        <v>420</v>
      </c>
      <c r="B84" s="835"/>
      <c r="C84" s="835"/>
      <c r="D84" s="835"/>
      <c r="E84" s="836"/>
      <c r="F84" s="530">
        <f>SUM(E82:E83)</f>
        <v>155.83513846153852</v>
      </c>
      <c r="G84" s="407"/>
    </row>
    <row r="85" spans="1:11" ht="11.25" customHeight="1">
      <c r="A85" s="794"/>
      <c r="B85" s="794"/>
      <c r="C85" s="794"/>
      <c r="D85" s="794"/>
      <c r="E85" s="794"/>
      <c r="F85" s="794"/>
      <c r="G85" s="407"/>
    </row>
    <row r="86" spans="1:11">
      <c r="A86" s="828" t="s">
        <v>69</v>
      </c>
      <c r="B86" s="828"/>
      <c r="C86" s="828"/>
      <c r="D86" s="828"/>
      <c r="E86" s="828"/>
      <c r="F86" s="828"/>
      <c r="G86" s="407"/>
    </row>
    <row r="87" spans="1:11" ht="15">
      <c r="A87" s="422" t="s">
        <v>45</v>
      </c>
      <c r="B87" s="423" t="s">
        <v>46</v>
      </c>
      <c r="C87" s="423" t="s">
        <v>39</v>
      </c>
      <c r="D87" s="424" t="s">
        <v>47</v>
      </c>
      <c r="E87" s="424" t="s">
        <v>48</v>
      </c>
      <c r="F87" s="425" t="s">
        <v>420</v>
      </c>
      <c r="G87" s="564"/>
      <c r="H87" s="560"/>
      <c r="I87" s="561"/>
      <c r="J87" s="562"/>
      <c r="K87" s="562"/>
    </row>
    <row r="88" spans="1:11" ht="15">
      <c r="A88" s="380" t="str">
        <f>+A82</f>
        <v>Coletor</v>
      </c>
      <c r="B88" s="430" t="s">
        <v>70</v>
      </c>
      <c r="C88" s="531">
        <f>C81*(E41)</f>
        <v>24</v>
      </c>
      <c r="D88" s="441">
        <v>0</v>
      </c>
      <c r="E88" s="532">
        <f>C88*D88</f>
        <v>0</v>
      </c>
      <c r="F88" s="533"/>
      <c r="H88" s="560"/>
      <c r="I88" s="561"/>
      <c r="J88" s="562"/>
      <c r="K88" s="562"/>
    </row>
    <row r="89" spans="1:11" ht="15">
      <c r="A89" s="380" t="str">
        <f>+A83</f>
        <v>Motorista</v>
      </c>
      <c r="B89" s="430" t="s">
        <v>70</v>
      </c>
      <c r="C89" s="531">
        <f>C81*(E42)</f>
        <v>12</v>
      </c>
      <c r="D89" s="441">
        <v>23.5</v>
      </c>
      <c r="E89" s="532">
        <f>C89*D89</f>
        <v>282</v>
      </c>
      <c r="F89" s="534"/>
      <c r="G89" s="564"/>
      <c r="H89" s="560"/>
      <c r="I89" s="561"/>
      <c r="J89" s="562"/>
      <c r="K89" s="562"/>
    </row>
    <row r="90" spans="1:11" ht="15.75" thickBot="1">
      <c r="A90" s="834" t="s">
        <v>420</v>
      </c>
      <c r="B90" s="835"/>
      <c r="C90" s="835"/>
      <c r="D90" s="835"/>
      <c r="E90" s="836"/>
      <c r="F90" s="530">
        <f>SUM(E88:E89)</f>
        <v>282</v>
      </c>
      <c r="G90" s="407"/>
    </row>
    <row r="91" spans="1:11">
      <c r="A91" s="794"/>
      <c r="B91" s="794"/>
      <c r="C91" s="794"/>
      <c r="D91" s="794"/>
      <c r="E91" s="794"/>
      <c r="F91" s="794"/>
      <c r="G91" s="407"/>
    </row>
    <row r="92" spans="1:11">
      <c r="A92" s="828" t="s">
        <v>71</v>
      </c>
      <c r="B92" s="828"/>
      <c r="C92" s="828"/>
      <c r="D92" s="828"/>
      <c r="E92" s="828"/>
      <c r="F92" s="828"/>
      <c r="G92" s="407"/>
    </row>
    <row r="93" spans="1:11" ht="15.75" thickBot="1">
      <c r="A93" s="422" t="s">
        <v>45</v>
      </c>
      <c r="B93" s="423" t="s">
        <v>46</v>
      </c>
      <c r="C93" s="423" t="s">
        <v>39</v>
      </c>
      <c r="D93" s="424" t="s">
        <v>47</v>
      </c>
      <c r="E93" s="424" t="s">
        <v>48</v>
      </c>
      <c r="F93" s="425" t="s">
        <v>420</v>
      </c>
      <c r="G93" s="407"/>
    </row>
    <row r="94" spans="1:11" ht="15">
      <c r="A94" s="380" t="str">
        <f>+A88</f>
        <v>Coletor</v>
      </c>
      <c r="B94" s="430" t="s">
        <v>70</v>
      </c>
      <c r="C94" s="531">
        <f>E41</f>
        <v>2</v>
      </c>
      <c r="D94" s="441">
        <f>24*27.15</f>
        <v>651.59999999999991</v>
      </c>
      <c r="E94" s="532">
        <f>C94*D94</f>
        <v>1303.1999999999998</v>
      </c>
      <c r="F94" s="533"/>
      <c r="G94" s="564"/>
    </row>
    <row r="95" spans="1:11" ht="15">
      <c r="A95" s="380" t="str">
        <f>+A89</f>
        <v>Motorista</v>
      </c>
      <c r="B95" s="430" t="s">
        <v>70</v>
      </c>
      <c r="C95" s="531">
        <f>E42</f>
        <v>1</v>
      </c>
      <c r="D95" s="441">
        <v>150</v>
      </c>
      <c r="E95" s="532">
        <f>C95*D95</f>
        <v>150</v>
      </c>
      <c r="F95" s="534"/>
      <c r="G95" s="564"/>
      <c r="H95" s="560"/>
      <c r="I95" s="561"/>
      <c r="J95" s="562"/>
      <c r="K95" s="562"/>
    </row>
    <row r="96" spans="1:11" ht="15.75" thickBot="1">
      <c r="A96" s="839" t="s">
        <v>420</v>
      </c>
      <c r="B96" s="837"/>
      <c r="C96" s="838"/>
      <c r="D96" s="449" t="s">
        <v>58</v>
      </c>
      <c r="E96" s="450">
        <f>$B$49</f>
        <v>0.4773</v>
      </c>
      <c r="F96" s="530">
        <f>SUM(E94:E95)*E96</f>
        <v>693.61235999999997</v>
      </c>
      <c r="G96" s="407"/>
    </row>
    <row r="97" spans="1:11">
      <c r="G97" s="407"/>
    </row>
    <row r="98" spans="1:11" ht="15">
      <c r="A98" s="489" t="s">
        <v>72</v>
      </c>
      <c r="B98" s="490"/>
      <c r="C98" s="490"/>
      <c r="D98" s="404"/>
      <c r="E98" s="404"/>
      <c r="F98" s="535">
        <f>F96+F90+F84+F76+F63</f>
        <v>8083.4056734693859</v>
      </c>
      <c r="G98" s="407"/>
    </row>
    <row r="99" spans="1:11">
      <c r="A99" s="840"/>
      <c r="B99" s="840"/>
      <c r="C99" s="840"/>
      <c r="D99" s="840"/>
      <c r="E99" s="840"/>
      <c r="F99" s="840"/>
    </row>
    <row r="100" spans="1:11" ht="15">
      <c r="A100" s="827" t="s">
        <v>73</v>
      </c>
      <c r="B100" s="827"/>
      <c r="C100" s="827"/>
      <c r="D100" s="827"/>
      <c r="E100" s="827"/>
      <c r="F100" s="827"/>
      <c r="G100" s="407"/>
    </row>
    <row r="101" spans="1:11" ht="11.25" customHeight="1">
      <c r="A101" s="794"/>
      <c r="B101" s="794"/>
      <c r="C101" s="794"/>
      <c r="D101" s="794"/>
      <c r="E101" s="794"/>
      <c r="F101" s="794"/>
      <c r="G101" s="407"/>
    </row>
    <row r="102" spans="1:11" ht="13.9" customHeight="1">
      <c r="A102" s="841" t="s">
        <v>74</v>
      </c>
      <c r="B102" s="841"/>
      <c r="C102" s="841"/>
      <c r="D102" s="841"/>
      <c r="E102" s="841"/>
      <c r="F102" s="841"/>
      <c r="G102" s="407"/>
    </row>
    <row r="103" spans="1:11" ht="11.25" customHeight="1">
      <c r="A103" s="842"/>
      <c r="B103" s="842"/>
      <c r="C103" s="842"/>
      <c r="D103" s="842"/>
      <c r="E103" s="842"/>
      <c r="F103" s="842"/>
      <c r="G103" s="407"/>
    </row>
    <row r="104" spans="1:11" ht="27.75" customHeight="1" thickBot="1">
      <c r="A104" s="422" t="s">
        <v>45</v>
      </c>
      <c r="B104" s="423" t="s">
        <v>46</v>
      </c>
      <c r="C104" s="536" t="s">
        <v>75</v>
      </c>
      <c r="D104" s="424" t="s">
        <v>47</v>
      </c>
      <c r="E104" s="424" t="s">
        <v>48</v>
      </c>
      <c r="F104" s="425" t="s">
        <v>420</v>
      </c>
      <c r="G104" s="407"/>
    </row>
    <row r="105" spans="1:11">
      <c r="A105" s="360" t="s">
        <v>408</v>
      </c>
      <c r="B105" s="426" t="s">
        <v>70</v>
      </c>
      <c r="C105" s="537">
        <v>12</v>
      </c>
      <c r="D105" s="427">
        <f>AVERAGE(285,285,160,285,159.9)</f>
        <v>234.98000000000002</v>
      </c>
      <c r="E105" s="456">
        <f>IFERROR(D105/C105,0)</f>
        <v>19.581666666666667</v>
      </c>
      <c r="F105" s="434"/>
      <c r="G105" s="564"/>
      <c r="H105" s="560"/>
      <c r="I105" s="561"/>
      <c r="J105" s="562"/>
      <c r="K105" s="562"/>
    </row>
    <row r="106" spans="1:11" ht="13.15" customHeight="1">
      <c r="A106" s="380" t="s">
        <v>412</v>
      </c>
      <c r="B106" s="430" t="s">
        <v>70</v>
      </c>
      <c r="C106" s="493">
        <v>6</v>
      </c>
      <c r="D106" s="427">
        <f>AVERAGE(74,68.3,59.9,74.9,65.15)</f>
        <v>68.45</v>
      </c>
      <c r="E106" s="456">
        <f t="shared" ref="E106:E114" si="2">IFERROR(D106/C106,0)</f>
        <v>11.408333333333333</v>
      </c>
      <c r="F106" s="434"/>
      <c r="G106" s="564"/>
      <c r="H106" s="560"/>
      <c r="I106" s="561"/>
      <c r="J106" s="562"/>
      <c r="K106" s="562"/>
    </row>
    <row r="107" spans="1:11">
      <c r="A107" s="380" t="s">
        <v>413</v>
      </c>
      <c r="B107" s="430" t="s">
        <v>70</v>
      </c>
      <c r="C107" s="493">
        <v>3</v>
      </c>
      <c r="D107" s="427">
        <f>AVERAGE(43.9,17.6,43.9,43.9,28.88,43.9,43.9,43.9)</f>
        <v>38.734999999999999</v>
      </c>
      <c r="E107" s="456">
        <f t="shared" si="2"/>
        <v>12.911666666666667</v>
      </c>
      <c r="F107" s="434"/>
      <c r="G107" s="564"/>
      <c r="H107" s="560"/>
      <c r="I107" s="561"/>
      <c r="J107" s="562"/>
      <c r="K107" s="562"/>
    </row>
    <row r="108" spans="1:11" ht="13.15" customHeight="1">
      <c r="A108" s="380" t="s">
        <v>414</v>
      </c>
      <c r="B108" s="430" t="s">
        <v>70</v>
      </c>
      <c r="C108" s="493">
        <v>3</v>
      </c>
      <c r="D108" s="427">
        <f>AVERAGE(18.9,19.68,23.99,11.31,8.55,13.5)</f>
        <v>15.988333333333332</v>
      </c>
      <c r="E108" s="456">
        <f t="shared" si="2"/>
        <v>5.3294444444444435</v>
      </c>
      <c r="F108" s="434"/>
      <c r="G108" s="564"/>
      <c r="H108" s="560"/>
      <c r="I108" s="561"/>
      <c r="J108" s="562"/>
      <c r="K108" s="562"/>
    </row>
    <row r="109" spans="1:11" ht="13.9" customHeight="1">
      <c r="A109" s="380" t="s">
        <v>76</v>
      </c>
      <c r="B109" s="430" t="s">
        <v>77</v>
      </c>
      <c r="C109" s="493">
        <v>3</v>
      </c>
      <c r="D109" s="427">
        <f>AVERAGE(55.97,52.16,55.97,145.23,119.05)</f>
        <v>85.676000000000002</v>
      </c>
      <c r="E109" s="456">
        <f t="shared" si="2"/>
        <v>28.558666666666667</v>
      </c>
      <c r="F109" s="434"/>
      <c r="G109" s="564"/>
      <c r="H109" s="560"/>
      <c r="I109" s="561"/>
      <c r="J109" s="562"/>
      <c r="K109" s="562"/>
    </row>
    <row r="110" spans="1:11" ht="13.15" customHeight="1">
      <c r="A110" s="380" t="s">
        <v>78</v>
      </c>
      <c r="B110" s="430" t="s">
        <v>77</v>
      </c>
      <c r="C110" s="493">
        <v>2</v>
      </c>
      <c r="D110" s="427">
        <f>AVERAGE(32/12,14.9/12,20.9,43.27/3,29.99/3)</f>
        <v>9.8456666666666646</v>
      </c>
      <c r="E110" s="456">
        <f t="shared" si="2"/>
        <v>4.9228333333333323</v>
      </c>
      <c r="F110" s="434"/>
      <c r="G110" s="564"/>
      <c r="H110" s="560"/>
      <c r="I110" s="561"/>
      <c r="J110" s="562"/>
      <c r="K110" s="562"/>
    </row>
    <row r="111" spans="1:11">
      <c r="A111" s="380" t="s">
        <v>409</v>
      </c>
      <c r="B111" s="430" t="s">
        <v>70</v>
      </c>
      <c r="C111" s="493">
        <v>12</v>
      </c>
      <c r="D111" s="427">
        <f>AVERAGE(55,59.74,182.74,90.72,121.34)</f>
        <v>101.90800000000002</v>
      </c>
      <c r="E111" s="456">
        <f t="shared" si="2"/>
        <v>8.4923333333333346</v>
      </c>
      <c r="F111" s="434"/>
      <c r="G111" s="564"/>
      <c r="H111" s="560"/>
      <c r="I111" s="561"/>
      <c r="J111" s="562"/>
      <c r="K111" s="562"/>
    </row>
    <row r="112" spans="1:11" s="567" customFormat="1">
      <c r="A112" s="538" t="s">
        <v>410</v>
      </c>
      <c r="B112" s="539" t="s">
        <v>70</v>
      </c>
      <c r="C112" s="493">
        <v>6</v>
      </c>
      <c r="D112" s="427">
        <f>AVERAGE(19.89,39.85,34.09,24.9,55)</f>
        <v>34.746000000000002</v>
      </c>
      <c r="E112" s="456">
        <f t="shared" si="2"/>
        <v>5.7910000000000004</v>
      </c>
      <c r="F112" s="540"/>
      <c r="G112" s="564"/>
      <c r="H112" s="560"/>
      <c r="I112" s="561"/>
      <c r="J112" s="562"/>
      <c r="K112" s="566"/>
    </row>
    <row r="113" spans="1:11">
      <c r="A113" s="380" t="s">
        <v>79</v>
      </c>
      <c r="B113" s="430" t="s">
        <v>77</v>
      </c>
      <c r="C113" s="493">
        <v>2</v>
      </c>
      <c r="D113" s="427">
        <f>AVERAGE(23.9,25.9,12.74,19.9,54.9/5,16.48)</f>
        <v>18.316666666666666</v>
      </c>
      <c r="E113" s="456">
        <f t="shared" si="2"/>
        <v>9.1583333333333332</v>
      </c>
      <c r="F113" s="434"/>
      <c r="G113" s="564"/>
      <c r="H113" s="560"/>
      <c r="I113" s="561"/>
      <c r="J113" s="562"/>
      <c r="K113" s="562"/>
    </row>
    <row r="114" spans="1:11" ht="13.15" customHeight="1">
      <c r="A114" s="380" t="s">
        <v>80</v>
      </c>
      <c r="B114" s="430" t="s">
        <v>81</v>
      </c>
      <c r="C114" s="493">
        <v>1</v>
      </c>
      <c r="D114" s="427">
        <f>AVERAGE(26.98,39.68,17.24,27.83,35.9)</f>
        <v>29.526</v>
      </c>
      <c r="E114" s="456">
        <f t="shared" si="2"/>
        <v>29.526</v>
      </c>
      <c r="F114" s="434"/>
      <c r="G114" s="564"/>
      <c r="H114" s="560"/>
      <c r="I114" s="561"/>
      <c r="J114" s="562"/>
      <c r="K114" s="562"/>
    </row>
    <row r="115" spans="1:11">
      <c r="A115" s="380" t="s">
        <v>82</v>
      </c>
      <c r="B115" s="430" t="s">
        <v>83</v>
      </c>
      <c r="C115" s="495">
        <v>1</v>
      </c>
      <c r="D115" s="427">
        <v>100</v>
      </c>
      <c r="E115" s="435">
        <f t="shared" ref="E115" si="3">C115*D115</f>
        <v>100</v>
      </c>
      <c r="F115" s="434"/>
      <c r="G115" s="564"/>
      <c r="H115" s="560"/>
      <c r="I115" s="561"/>
      <c r="J115" s="562"/>
      <c r="K115" s="562"/>
    </row>
    <row r="116" spans="1:11">
      <c r="A116" s="380" t="s">
        <v>56</v>
      </c>
      <c r="B116" s="430" t="s">
        <v>57</v>
      </c>
      <c r="C116" s="495">
        <f>E41</f>
        <v>2</v>
      </c>
      <c r="D116" s="435">
        <f>+SUM(E105:E115)</f>
        <v>235.68027777777777</v>
      </c>
      <c r="E116" s="435">
        <f>C116*D116</f>
        <v>471.36055555555555</v>
      </c>
      <c r="F116" s="434"/>
      <c r="G116" s="564"/>
    </row>
    <row r="117" spans="1:11" ht="15">
      <c r="A117" s="843" t="s">
        <v>84</v>
      </c>
      <c r="B117" s="844"/>
      <c r="C117" s="845"/>
      <c r="D117" s="449" t="s">
        <v>58</v>
      </c>
      <c r="E117" s="458">
        <f>$B$49</f>
        <v>0.4773</v>
      </c>
      <c r="F117" s="451">
        <f>E116*E117</f>
        <v>224.98039316666666</v>
      </c>
    </row>
    <row r="118" spans="1:11" ht="11.25" customHeight="1">
      <c r="A118" s="794"/>
      <c r="B118" s="794"/>
      <c r="C118" s="794"/>
      <c r="D118" s="794"/>
      <c r="E118" s="794"/>
      <c r="F118" s="794"/>
    </row>
    <row r="119" spans="1:11" ht="13.9" customHeight="1">
      <c r="A119" s="841" t="s">
        <v>85</v>
      </c>
      <c r="B119" s="841"/>
      <c r="C119" s="841"/>
      <c r="D119" s="841"/>
      <c r="E119" s="841"/>
      <c r="F119" s="841"/>
    </row>
    <row r="120" spans="1:11" ht="11.25" customHeight="1">
      <c r="A120" s="842"/>
      <c r="B120" s="842"/>
      <c r="C120" s="842"/>
      <c r="D120" s="842"/>
      <c r="E120" s="842"/>
      <c r="F120" s="842"/>
    </row>
    <row r="121" spans="1:11" ht="30">
      <c r="A121" s="422" t="s">
        <v>45</v>
      </c>
      <c r="B121" s="423" t="s">
        <v>46</v>
      </c>
      <c r="C121" s="536" t="s">
        <v>75</v>
      </c>
      <c r="D121" s="424" t="s">
        <v>47</v>
      </c>
      <c r="E121" s="424" t="s">
        <v>48</v>
      </c>
      <c r="F121" s="425" t="s">
        <v>420</v>
      </c>
    </row>
    <row r="122" spans="1:11">
      <c r="A122" s="360" t="s">
        <v>408</v>
      </c>
      <c r="B122" s="426" t="s">
        <v>70</v>
      </c>
      <c r="C122" s="537">
        <v>12</v>
      </c>
      <c r="D122" s="427">
        <f>AVERAGE(285,285,160,285,159.9)</f>
        <v>234.98000000000002</v>
      </c>
      <c r="E122" s="456">
        <f>IFERROR(D122/C122,0)</f>
        <v>19.581666666666667</v>
      </c>
      <c r="F122" s="429"/>
      <c r="G122" s="564"/>
      <c r="H122" s="560"/>
      <c r="I122" s="561"/>
      <c r="J122" s="562"/>
      <c r="K122" s="562"/>
    </row>
    <row r="123" spans="1:11">
      <c r="A123" s="380" t="s">
        <v>412</v>
      </c>
      <c r="B123" s="430" t="s">
        <v>70</v>
      </c>
      <c r="C123" s="493">
        <v>6</v>
      </c>
      <c r="D123" s="427">
        <f>AVERAGE(74,68.3,59.9,74.9,65.15)</f>
        <v>68.45</v>
      </c>
      <c r="E123" s="456">
        <f t="shared" ref="E123:E127" si="4">IFERROR(D123/C123,0)</f>
        <v>11.408333333333333</v>
      </c>
      <c r="F123" s="434"/>
      <c r="G123" s="564"/>
      <c r="H123" s="560"/>
      <c r="I123" s="561"/>
      <c r="J123" s="562"/>
      <c r="K123" s="562"/>
    </row>
    <row r="124" spans="1:11">
      <c r="A124" s="380" t="s">
        <v>413</v>
      </c>
      <c r="B124" s="430" t="s">
        <v>70</v>
      </c>
      <c r="C124" s="493">
        <v>3</v>
      </c>
      <c r="D124" s="427">
        <f>AVERAGE(43.9,17.6,43.9,43.9,28.88,43.9,43.9,43.9)</f>
        <v>38.734999999999999</v>
      </c>
      <c r="E124" s="456">
        <f t="shared" si="4"/>
        <v>12.911666666666667</v>
      </c>
      <c r="F124" s="434"/>
      <c r="G124" s="564"/>
      <c r="H124" s="560"/>
      <c r="I124" s="561"/>
      <c r="J124" s="562"/>
      <c r="K124" s="562"/>
    </row>
    <row r="125" spans="1:11">
      <c r="A125" s="380" t="s">
        <v>76</v>
      </c>
      <c r="B125" s="430" t="s">
        <v>77</v>
      </c>
      <c r="C125" s="493">
        <v>3</v>
      </c>
      <c r="D125" s="427">
        <f>AVERAGE(55.97,52.16,55.97,145.23,119.05)</f>
        <v>85.676000000000002</v>
      </c>
      <c r="E125" s="456">
        <f t="shared" si="4"/>
        <v>28.558666666666667</v>
      </c>
      <c r="F125" s="434"/>
      <c r="G125" s="564"/>
      <c r="H125" s="560"/>
      <c r="I125" s="561"/>
      <c r="J125" s="562"/>
      <c r="K125" s="562"/>
    </row>
    <row r="126" spans="1:11">
      <c r="A126" s="380" t="s">
        <v>409</v>
      </c>
      <c r="B126" s="430" t="s">
        <v>70</v>
      </c>
      <c r="C126" s="493">
        <v>12</v>
      </c>
      <c r="D126" s="427">
        <f>AVERAGE(55,59.74,182.74,90.72,121.34)</f>
        <v>101.90800000000002</v>
      </c>
      <c r="E126" s="456">
        <f t="shared" si="4"/>
        <v>8.4923333333333346</v>
      </c>
      <c r="F126" s="434"/>
      <c r="G126" s="564"/>
      <c r="H126" s="560"/>
      <c r="I126" s="561"/>
      <c r="J126" s="562"/>
      <c r="K126" s="562"/>
    </row>
    <row r="127" spans="1:11">
      <c r="A127" s="380" t="s">
        <v>80</v>
      </c>
      <c r="B127" s="430" t="s">
        <v>81</v>
      </c>
      <c r="C127" s="493">
        <v>1</v>
      </c>
      <c r="D127" s="427">
        <f>AVERAGE(26.98,39.68,17.24,27.83,35.9)</f>
        <v>29.526</v>
      </c>
      <c r="E127" s="456">
        <f t="shared" si="4"/>
        <v>29.526</v>
      </c>
      <c r="F127" s="434"/>
      <c r="G127" s="564"/>
      <c r="H127" s="560"/>
      <c r="I127" s="561"/>
      <c r="J127" s="562"/>
      <c r="K127" s="562"/>
    </row>
    <row r="128" spans="1:11">
      <c r="A128" s="380" t="s">
        <v>82</v>
      </c>
      <c r="B128" s="430" t="s">
        <v>83</v>
      </c>
      <c r="C128" s="495">
        <v>1</v>
      </c>
      <c r="D128" s="427">
        <v>100</v>
      </c>
      <c r="E128" s="435">
        <f t="shared" ref="E128:E129" si="5">C128*D128</f>
        <v>100</v>
      </c>
      <c r="F128" s="434"/>
      <c r="G128" s="564"/>
      <c r="H128" s="560"/>
      <c r="I128" s="561"/>
      <c r="J128" s="562"/>
      <c r="K128" s="562"/>
    </row>
    <row r="129" spans="1:11">
      <c r="A129" s="380" t="s">
        <v>56</v>
      </c>
      <c r="B129" s="430" t="s">
        <v>57</v>
      </c>
      <c r="C129" s="495">
        <f>E42</f>
        <v>1</v>
      </c>
      <c r="D129" s="435">
        <f>+SUM(E122:E128)</f>
        <v>210.47866666666667</v>
      </c>
      <c r="E129" s="435">
        <f t="shared" si="5"/>
        <v>210.47866666666667</v>
      </c>
      <c r="F129" s="434"/>
      <c r="G129" s="407"/>
    </row>
    <row r="130" spans="1:11" ht="15">
      <c r="A130" s="843" t="s">
        <v>84</v>
      </c>
      <c r="B130" s="844"/>
      <c r="C130" s="845"/>
      <c r="D130" s="449" t="s">
        <v>58</v>
      </c>
      <c r="E130" s="458">
        <f>$B$49</f>
        <v>0.4773</v>
      </c>
      <c r="F130" s="451">
        <f>E129*E130</f>
        <v>100.46146760000001</v>
      </c>
      <c r="G130" s="407"/>
    </row>
    <row r="131" spans="1:11" ht="11.25" customHeight="1">
      <c r="G131" s="407"/>
    </row>
    <row r="132" spans="1:11" ht="15">
      <c r="A132" s="489" t="s">
        <v>86</v>
      </c>
      <c r="B132" s="498"/>
      <c r="C132" s="498"/>
      <c r="D132" s="499"/>
      <c r="E132" s="499"/>
      <c r="F132" s="494">
        <f>+F117+F130</f>
        <v>325.44186076666665</v>
      </c>
      <c r="G132" s="407"/>
    </row>
    <row r="133" spans="1:11" ht="11.25" customHeight="1">
      <c r="G133" s="407"/>
    </row>
    <row r="134" spans="1:11" ht="15">
      <c r="A134" s="408" t="s">
        <v>87</v>
      </c>
      <c r="G134" s="407"/>
    </row>
    <row r="135" spans="1:11" ht="11.25" customHeight="1">
      <c r="B135" s="409"/>
      <c r="G135" s="407"/>
    </row>
    <row r="136" spans="1:11">
      <c r="A136" s="379" t="s">
        <v>430</v>
      </c>
      <c r="G136" s="407"/>
    </row>
    <row r="137" spans="1:11" ht="11.25" customHeight="1">
      <c r="G137" s="407"/>
    </row>
    <row r="138" spans="1:11">
      <c r="A138" s="421" t="s">
        <v>88</v>
      </c>
      <c r="G138" s="407"/>
    </row>
    <row r="139" spans="1:11" ht="15">
      <c r="A139" s="422" t="s">
        <v>45</v>
      </c>
      <c r="B139" s="423" t="s">
        <v>46</v>
      </c>
      <c r="C139" s="423" t="s">
        <v>39</v>
      </c>
      <c r="D139" s="424" t="s">
        <v>47</v>
      </c>
      <c r="E139" s="424" t="s">
        <v>48</v>
      </c>
      <c r="F139" s="425" t="s">
        <v>420</v>
      </c>
      <c r="G139" s="407"/>
    </row>
    <row r="140" spans="1:11">
      <c r="A140" s="360" t="s">
        <v>89</v>
      </c>
      <c r="B140" s="426" t="s">
        <v>70</v>
      </c>
      <c r="C140" s="426">
        <v>1</v>
      </c>
      <c r="D140" s="427">
        <v>420000</v>
      </c>
      <c r="E140" s="428">
        <f>C140*D140</f>
        <v>420000</v>
      </c>
      <c r="F140" s="429"/>
      <c r="G140" s="121"/>
      <c r="H140" s="590"/>
      <c r="I140" s="591"/>
      <c r="J140" s="562"/>
      <c r="K140" s="562"/>
    </row>
    <row r="141" spans="1:11">
      <c r="A141" s="380" t="s">
        <v>90</v>
      </c>
      <c r="B141" s="430" t="s">
        <v>91</v>
      </c>
      <c r="C141" s="431">
        <v>10</v>
      </c>
      <c r="D141" s="432"/>
      <c r="E141" s="433"/>
      <c r="F141" s="434"/>
      <c r="G141" s="120"/>
      <c r="H141" s="589"/>
      <c r="I141" s="589"/>
    </row>
    <row r="142" spans="1:11">
      <c r="A142" s="380" t="s">
        <v>92</v>
      </c>
      <c r="B142" s="430" t="s">
        <v>91</v>
      </c>
      <c r="C142" s="431">
        <v>0</v>
      </c>
      <c r="D142" s="435"/>
      <c r="E142" s="433"/>
      <c r="F142" s="436"/>
      <c r="G142" s="121"/>
      <c r="H142" s="589"/>
      <c r="I142" s="592"/>
      <c r="J142" s="568"/>
      <c r="K142" s="568"/>
    </row>
    <row r="143" spans="1:11">
      <c r="A143" s="380" t="s">
        <v>93</v>
      </c>
      <c r="B143" s="430" t="s">
        <v>9</v>
      </c>
      <c r="C143" s="437">
        <f>IFERROR(VLOOKUP(C141,'5. Depreciação'!A4:B18,2,FALSE),0)</f>
        <v>65.180000000000007</v>
      </c>
      <c r="D143" s="435">
        <f>E140</f>
        <v>420000</v>
      </c>
      <c r="E143" s="433">
        <f>C143*D143/100</f>
        <v>273756.00000000006</v>
      </c>
      <c r="F143" s="434"/>
      <c r="G143" s="121"/>
      <c r="H143" s="589"/>
      <c r="I143" s="589"/>
    </row>
    <row r="144" spans="1:11" ht="15">
      <c r="A144" s="438" t="s">
        <v>94</v>
      </c>
      <c r="B144" s="439" t="s">
        <v>50</v>
      </c>
      <c r="C144" s="439">
        <f>C141*12</f>
        <v>120</v>
      </c>
      <c r="D144" s="440">
        <f>IF(C142&lt;=C141,E143,0)</f>
        <v>273756.00000000006</v>
      </c>
      <c r="E144" s="440">
        <f>IFERROR(D144/C144,0)</f>
        <v>2281.3000000000006</v>
      </c>
      <c r="F144" s="434"/>
      <c r="G144" s="121"/>
      <c r="H144" s="589"/>
      <c r="I144" s="589"/>
    </row>
    <row r="145" spans="1:11">
      <c r="A145" s="411" t="s">
        <v>95</v>
      </c>
      <c r="B145" s="430" t="s">
        <v>70</v>
      </c>
      <c r="C145" s="430">
        <f>C140</f>
        <v>1</v>
      </c>
      <c r="D145" s="441">
        <v>230000</v>
      </c>
      <c r="E145" s="435">
        <f>C145*D145</f>
        <v>230000</v>
      </c>
      <c r="F145" s="434"/>
      <c r="G145" s="121"/>
      <c r="H145" s="590"/>
      <c r="I145" s="591"/>
      <c r="J145" s="562"/>
      <c r="K145" s="562"/>
    </row>
    <row r="146" spans="1:11" ht="15">
      <c r="A146" s="380" t="s">
        <v>96</v>
      </c>
      <c r="B146" s="430" t="s">
        <v>91</v>
      </c>
      <c r="C146" s="431">
        <v>10</v>
      </c>
      <c r="D146" s="435"/>
      <c r="E146" s="433"/>
      <c r="F146" s="434"/>
      <c r="G146" s="578"/>
      <c r="H146" s="589"/>
      <c r="I146" s="589"/>
    </row>
    <row r="147" spans="1:11">
      <c r="A147" s="380" t="s">
        <v>97</v>
      </c>
      <c r="B147" s="430" t="s">
        <v>91</v>
      </c>
      <c r="C147" s="431">
        <v>0</v>
      </c>
      <c r="D147" s="435"/>
      <c r="E147" s="433"/>
      <c r="F147" s="436"/>
      <c r="I147" s="568"/>
      <c r="J147" s="568"/>
      <c r="K147" s="568"/>
    </row>
    <row r="148" spans="1:11">
      <c r="A148" s="380" t="s">
        <v>98</v>
      </c>
      <c r="B148" s="430" t="s">
        <v>9</v>
      </c>
      <c r="C148" s="442">
        <f>IFERROR(VLOOKUP(C146,'5. Depreciação'!A4:B18,2,FALSE),0)</f>
        <v>65.180000000000007</v>
      </c>
      <c r="D148" s="435">
        <f>E145</f>
        <v>230000</v>
      </c>
      <c r="E148" s="433">
        <f>C148*D148/100</f>
        <v>149914.00000000003</v>
      </c>
      <c r="F148" s="434"/>
    </row>
    <row r="149" spans="1:11" ht="15">
      <c r="A149" s="443" t="s">
        <v>99</v>
      </c>
      <c r="B149" s="439" t="s">
        <v>50</v>
      </c>
      <c r="C149" s="439">
        <v>120</v>
      </c>
      <c r="D149" s="440">
        <f>IF(C147&lt;=C146,E148,0)</f>
        <v>149914.00000000003</v>
      </c>
      <c r="E149" s="444">
        <f>IFERROR(D149/C149,0)</f>
        <v>1249.2833333333335</v>
      </c>
      <c r="F149" s="434"/>
    </row>
    <row r="150" spans="1:11" ht="15">
      <c r="A150" s="445" t="s">
        <v>100</v>
      </c>
      <c r="B150" s="446"/>
      <c r="C150" s="446"/>
      <c r="D150" s="447"/>
      <c r="E150" s="448">
        <f>E144+E149</f>
        <v>3530.5833333333339</v>
      </c>
      <c r="F150" s="434"/>
    </row>
    <row r="151" spans="1:11" ht="15">
      <c r="A151" s="443" t="s">
        <v>101</v>
      </c>
      <c r="B151" s="439" t="s">
        <v>70</v>
      </c>
      <c r="C151" s="431">
        <v>1</v>
      </c>
      <c r="D151" s="440">
        <f>E150</f>
        <v>3530.5833333333339</v>
      </c>
      <c r="E151" s="448">
        <f>C151*D151</f>
        <v>3530.5833333333339</v>
      </c>
      <c r="F151" s="434"/>
    </row>
    <row r="152" spans="1:11" ht="15">
      <c r="A152" s="846" t="str">
        <f>F139</f>
        <v>Total (R$)</v>
      </c>
      <c r="B152" s="847"/>
      <c r="C152" s="848"/>
      <c r="D152" s="449" t="s">
        <v>58</v>
      </c>
      <c r="E152" s="450">
        <f>$B$49</f>
        <v>0.4773</v>
      </c>
      <c r="F152" s="451">
        <f>(E151*E152)</f>
        <v>1685.1474250000003</v>
      </c>
    </row>
    <row r="153" spans="1:11" ht="11.25" customHeight="1"/>
    <row r="154" spans="1:11">
      <c r="A154" s="421" t="s">
        <v>102</v>
      </c>
    </row>
    <row r="155" spans="1:11" ht="15.75" thickBot="1">
      <c r="A155" s="422" t="s">
        <v>45</v>
      </c>
      <c r="B155" s="423" t="s">
        <v>46</v>
      </c>
      <c r="C155" s="423" t="s">
        <v>39</v>
      </c>
      <c r="D155" s="424" t="s">
        <v>47</v>
      </c>
      <c r="E155" s="424" t="s">
        <v>48</v>
      </c>
      <c r="F155" s="425" t="s">
        <v>420</v>
      </c>
      <c r="I155" s="568"/>
      <c r="J155" s="568"/>
      <c r="K155" s="568"/>
    </row>
    <row r="156" spans="1:11">
      <c r="A156" s="360" t="s">
        <v>103</v>
      </c>
      <c r="B156" s="426" t="s">
        <v>70</v>
      </c>
      <c r="C156" s="426">
        <v>1</v>
      </c>
      <c r="D156" s="427">
        <f>D140</f>
        <v>420000</v>
      </c>
      <c r="E156" s="428">
        <f>C156*D156</f>
        <v>420000</v>
      </c>
      <c r="F156" s="452"/>
      <c r="H156" s="560"/>
      <c r="I156" s="561"/>
      <c r="J156" s="562"/>
      <c r="K156" s="562"/>
    </row>
    <row r="157" spans="1:11">
      <c r="A157" s="380" t="s">
        <v>104</v>
      </c>
      <c r="B157" s="430" t="s">
        <v>9</v>
      </c>
      <c r="C157" s="431">
        <v>14</v>
      </c>
      <c r="D157" s="435"/>
      <c r="E157" s="433"/>
      <c r="F157" s="436"/>
      <c r="G157" s="407"/>
    </row>
    <row r="158" spans="1:11">
      <c r="A158" s="380" t="s">
        <v>105</v>
      </c>
      <c r="B158" s="430" t="s">
        <v>51</v>
      </c>
      <c r="C158" s="453">
        <f>IFERROR(IF(C142&lt;=C141,E140-(C143/(100*C141)*C142)*E140,E140-E143),0)</f>
        <v>420000</v>
      </c>
      <c r="D158" s="435"/>
      <c r="E158" s="433"/>
      <c r="F158" s="436"/>
      <c r="I158" s="568"/>
      <c r="J158" s="568"/>
      <c r="K158" s="568"/>
    </row>
    <row r="159" spans="1:11">
      <c r="A159" s="411" t="s">
        <v>106</v>
      </c>
      <c r="B159" s="430" t="s">
        <v>51</v>
      </c>
      <c r="C159" s="432">
        <f>IFERROR(IF(C142&gt;=C141,C158,((((C158)-(E140-E143))*(((C141-C142)+1)/(2*(C141-C142))))+(E140-E143))),0)</f>
        <v>296809.8</v>
      </c>
      <c r="D159" s="435"/>
      <c r="E159" s="435"/>
      <c r="F159" s="436"/>
    </row>
    <row r="160" spans="1:11" ht="15">
      <c r="A160" s="438" t="s">
        <v>107</v>
      </c>
      <c r="B160" s="439" t="s">
        <v>51</v>
      </c>
      <c r="C160" s="439"/>
      <c r="D160" s="454">
        <f>C157*C159/12/100</f>
        <v>3462.7809999999999</v>
      </c>
      <c r="E160" s="440">
        <f>D160</f>
        <v>3462.7809999999999</v>
      </c>
      <c r="F160" s="436"/>
    </row>
    <row r="161" spans="1:11">
      <c r="A161" s="411" t="s">
        <v>108</v>
      </c>
      <c r="B161" s="430" t="s">
        <v>70</v>
      </c>
      <c r="C161" s="430">
        <f>C145</f>
        <v>1</v>
      </c>
      <c r="D161" s="441">
        <f>D145</f>
        <v>230000</v>
      </c>
      <c r="E161" s="435">
        <f>C161*D161</f>
        <v>230000</v>
      </c>
      <c r="F161" s="436"/>
      <c r="H161" s="560"/>
      <c r="I161" s="561"/>
      <c r="J161" s="562"/>
      <c r="K161" s="562"/>
    </row>
    <row r="162" spans="1:11">
      <c r="A162" s="380" t="s">
        <v>104</v>
      </c>
      <c r="B162" s="430" t="s">
        <v>9</v>
      </c>
      <c r="C162" s="430">
        <f>C157</f>
        <v>14</v>
      </c>
      <c r="D162" s="435"/>
      <c r="E162" s="433"/>
      <c r="F162" s="436"/>
      <c r="I162" s="568"/>
      <c r="J162" s="568"/>
      <c r="K162" s="568"/>
    </row>
    <row r="163" spans="1:11">
      <c r="A163" s="380" t="s">
        <v>109</v>
      </c>
      <c r="B163" s="430" t="s">
        <v>51</v>
      </c>
      <c r="C163" s="453">
        <f>IFERROR(IF(C147&lt;=C146,E145-(C148/(100*C146)*C147)*E145,E145-E148),0)</f>
        <v>230000</v>
      </c>
      <c r="D163" s="435"/>
      <c r="E163" s="433"/>
      <c r="F163" s="436"/>
      <c r="I163" s="568"/>
      <c r="J163" s="568"/>
      <c r="K163" s="568"/>
    </row>
    <row r="164" spans="1:11">
      <c r="A164" s="380" t="s">
        <v>110</v>
      </c>
      <c r="B164" s="430" t="s">
        <v>51</v>
      </c>
      <c r="C164" s="432">
        <f>IFERROR(IF(C147&gt;=C146,C163,((((C163)-(E145-E148))*(((C146-C147)+1)/(2*(C146-C147))))+(E145-E148))),0)</f>
        <v>162538.70000000001</v>
      </c>
      <c r="D164" s="435"/>
      <c r="E164" s="433"/>
      <c r="F164" s="436"/>
      <c r="I164" s="568"/>
      <c r="J164" s="568"/>
      <c r="K164" s="568"/>
    </row>
    <row r="165" spans="1:11" ht="15">
      <c r="A165" s="443" t="s">
        <v>111</v>
      </c>
      <c r="B165" s="439" t="s">
        <v>51</v>
      </c>
      <c r="C165" s="439"/>
      <c r="D165" s="454">
        <f>C162*C164/12/100</f>
        <v>1896.2848333333336</v>
      </c>
      <c r="E165" s="444">
        <f>D165</f>
        <v>1896.2848333333336</v>
      </c>
      <c r="F165" s="436"/>
      <c r="I165" s="568"/>
      <c r="J165" s="568"/>
      <c r="K165" s="568"/>
    </row>
    <row r="166" spans="1:11" ht="15">
      <c r="A166" s="445" t="s">
        <v>100</v>
      </c>
      <c r="B166" s="446"/>
      <c r="C166" s="446"/>
      <c r="D166" s="447"/>
      <c r="E166" s="448">
        <f>E160+E165</f>
        <v>5359.065833333334</v>
      </c>
      <c r="F166" s="436"/>
      <c r="I166" s="568"/>
      <c r="J166" s="568"/>
      <c r="K166" s="568"/>
    </row>
    <row r="167" spans="1:11" ht="15">
      <c r="A167" s="443" t="s">
        <v>101</v>
      </c>
      <c r="B167" s="439" t="s">
        <v>70</v>
      </c>
      <c r="C167" s="430">
        <f>C151</f>
        <v>1</v>
      </c>
      <c r="D167" s="440">
        <f>E166</f>
        <v>5359.065833333334</v>
      </c>
      <c r="E167" s="448">
        <f>C167*D167</f>
        <v>5359.065833333334</v>
      </c>
      <c r="F167" s="436"/>
      <c r="I167" s="568"/>
      <c r="J167" s="568"/>
      <c r="K167" s="568"/>
    </row>
    <row r="168" spans="1:11" ht="15.75" thickBot="1">
      <c r="A168" s="846" t="str">
        <f>F155</f>
        <v>Total (R$)</v>
      </c>
      <c r="B168" s="847"/>
      <c r="C168" s="848"/>
      <c r="D168" s="449" t="s">
        <v>58</v>
      </c>
      <c r="E168" s="450">
        <f>$B$49</f>
        <v>0.4773</v>
      </c>
      <c r="F168" s="451">
        <f>(E167*E168)</f>
        <v>2557.8821222500005</v>
      </c>
      <c r="I168" s="568"/>
      <c r="J168" s="568"/>
      <c r="K168" s="568"/>
    </row>
    <row r="169" spans="1:11" ht="11.25" customHeight="1">
      <c r="I169" s="568"/>
      <c r="J169" s="568"/>
      <c r="K169" s="568"/>
    </row>
    <row r="170" spans="1:11">
      <c r="A170" s="455" t="s">
        <v>112</v>
      </c>
      <c r="I170" s="568"/>
      <c r="J170" s="568"/>
      <c r="K170" s="568"/>
    </row>
    <row r="171" spans="1:11" ht="15">
      <c r="A171" s="422" t="s">
        <v>45</v>
      </c>
      <c r="B171" s="423" t="s">
        <v>46</v>
      </c>
      <c r="C171" s="423" t="s">
        <v>39</v>
      </c>
      <c r="D171" s="424" t="s">
        <v>47</v>
      </c>
      <c r="E171" s="424" t="s">
        <v>48</v>
      </c>
      <c r="F171" s="425" t="s">
        <v>420</v>
      </c>
      <c r="I171" s="568"/>
      <c r="J171" s="568"/>
      <c r="K171" s="568"/>
    </row>
    <row r="172" spans="1:11">
      <c r="A172" s="360" t="s">
        <v>113</v>
      </c>
      <c r="B172" s="426" t="s">
        <v>70</v>
      </c>
      <c r="C172" s="456">
        <f>C140</f>
        <v>1</v>
      </c>
      <c r="D172" s="456">
        <f>0.01*D140</f>
        <v>4200</v>
      </c>
      <c r="E172" s="456">
        <f>C172*D172</f>
        <v>4200</v>
      </c>
      <c r="F172" s="429"/>
      <c r="H172" s="560"/>
      <c r="I172" s="561"/>
      <c r="J172" s="562"/>
      <c r="K172" s="562"/>
    </row>
    <row r="173" spans="1:11">
      <c r="A173" s="380" t="s">
        <v>114</v>
      </c>
      <c r="B173" s="430" t="s">
        <v>70</v>
      </c>
      <c r="C173" s="456">
        <f>C140</f>
        <v>1</v>
      </c>
      <c r="D173" s="441">
        <v>114.09</v>
      </c>
      <c r="E173" s="435">
        <f>C173*D173</f>
        <v>114.09</v>
      </c>
      <c r="F173" s="434"/>
      <c r="H173" s="560"/>
      <c r="I173" s="561"/>
      <c r="J173" s="562"/>
      <c r="K173" s="562"/>
    </row>
    <row r="174" spans="1:11" ht="15">
      <c r="A174" s="380" t="s">
        <v>115</v>
      </c>
      <c r="B174" s="430" t="s">
        <v>70</v>
      </c>
      <c r="C174" s="456">
        <f>C140</f>
        <v>1</v>
      </c>
      <c r="D174" s="441">
        <v>15000</v>
      </c>
      <c r="E174" s="435">
        <f>C174*D174</f>
        <v>15000</v>
      </c>
      <c r="F174" s="457"/>
      <c r="G174" s="575"/>
      <c r="H174" s="560"/>
      <c r="I174" s="561"/>
      <c r="J174" s="562"/>
      <c r="K174" s="562"/>
    </row>
    <row r="175" spans="1:11" ht="15.75">
      <c r="A175" s="443" t="s">
        <v>116</v>
      </c>
      <c r="B175" s="439" t="s">
        <v>50</v>
      </c>
      <c r="C175" s="439">
        <v>12</v>
      </c>
      <c r="D175" s="440">
        <f>SUM(E172:E174)</f>
        <v>19314.09</v>
      </c>
      <c r="E175" s="440">
        <f>D175/C175</f>
        <v>1609.5074999999999</v>
      </c>
      <c r="F175" s="434"/>
      <c r="G175" s="359"/>
      <c r="I175" s="568"/>
      <c r="J175" s="568"/>
      <c r="K175" s="568"/>
    </row>
    <row r="176" spans="1:11" ht="15">
      <c r="A176" s="541" t="str">
        <f>F171</f>
        <v>Total (R$)</v>
      </c>
      <c r="B176" s="542"/>
      <c r="C176" s="542"/>
      <c r="D176" s="449" t="s">
        <v>58</v>
      </c>
      <c r="E176" s="458">
        <f>$B$49</f>
        <v>0.4773</v>
      </c>
      <c r="F176" s="451">
        <f>E175*E176</f>
        <v>768.21792974999994</v>
      </c>
      <c r="I176" s="568"/>
      <c r="J176" s="568"/>
      <c r="K176" s="568"/>
    </row>
    <row r="177" spans="1:11" ht="11.25" customHeight="1">
      <c r="I177" s="568"/>
      <c r="J177" s="568"/>
      <c r="K177" s="568"/>
    </row>
    <row r="178" spans="1:11">
      <c r="A178" s="455" t="s">
        <v>117</v>
      </c>
      <c r="B178" s="459"/>
      <c r="I178" s="568"/>
      <c r="J178" s="568"/>
      <c r="K178" s="568"/>
    </row>
    <row r="179" spans="1:11">
      <c r="B179" s="459"/>
      <c r="I179" s="568"/>
      <c r="J179" s="568"/>
      <c r="K179" s="568"/>
    </row>
    <row r="180" spans="1:11" ht="15">
      <c r="A180" s="460" t="s">
        <v>118</v>
      </c>
      <c r="B180" s="543">
        <v>2637.52</v>
      </c>
      <c r="I180" s="568"/>
      <c r="J180" s="568"/>
      <c r="K180" s="568"/>
    </row>
    <row r="181" spans="1:11" ht="15" thickBot="1">
      <c r="B181" s="459"/>
      <c r="I181" s="568"/>
      <c r="J181" s="568"/>
      <c r="K181" s="568"/>
    </row>
    <row r="182" spans="1:11" ht="15.75" thickBot="1">
      <c r="A182" s="544" t="s">
        <v>45</v>
      </c>
      <c r="B182" s="545" t="s">
        <v>46</v>
      </c>
      <c r="C182" s="545" t="s">
        <v>119</v>
      </c>
      <c r="D182" s="546" t="s">
        <v>47</v>
      </c>
      <c r="E182" s="546" t="s">
        <v>48</v>
      </c>
      <c r="F182" s="425" t="s">
        <v>420</v>
      </c>
      <c r="I182" s="568"/>
      <c r="J182" s="568"/>
      <c r="K182" s="568"/>
    </row>
    <row r="183" spans="1:11">
      <c r="A183" s="461" t="s">
        <v>120</v>
      </c>
      <c r="B183" s="462" t="s">
        <v>121</v>
      </c>
      <c r="C183" s="463">
        <v>2</v>
      </c>
      <c r="D183" s="547">
        <v>6.81</v>
      </c>
      <c r="E183" s="464"/>
      <c r="F183" s="429"/>
      <c r="G183" s="574"/>
      <c r="H183" s="560"/>
      <c r="I183" s="561"/>
      <c r="J183" s="562"/>
      <c r="K183" s="562"/>
    </row>
    <row r="184" spans="1:11">
      <c r="A184" s="465" t="s">
        <v>122</v>
      </c>
      <c r="B184" s="466" t="s">
        <v>123</v>
      </c>
      <c r="C184" s="548">
        <f>SUM(B180)</f>
        <v>2637.52</v>
      </c>
      <c r="D184" s="467">
        <f>IFERROR(+D183/C183,"-")</f>
        <v>3.4049999999999998</v>
      </c>
      <c r="E184" s="468">
        <f>IFERROR(C184*D184,"-")</f>
        <v>8980.7555999999986</v>
      </c>
      <c r="F184" s="434"/>
      <c r="G184" s="569"/>
      <c r="I184" s="568"/>
      <c r="J184" s="568"/>
      <c r="K184" s="568"/>
    </row>
    <row r="185" spans="1:11" ht="15.75">
      <c r="A185" s="469" t="s">
        <v>124</v>
      </c>
      <c r="B185" s="470" t="s">
        <v>125</v>
      </c>
      <c r="C185" s="471">
        <v>1.5</v>
      </c>
      <c r="D185" s="472">
        <v>30</v>
      </c>
      <c r="E185" s="473"/>
      <c r="F185" s="434"/>
      <c r="G185" s="359"/>
      <c r="H185" s="560"/>
      <c r="I185" s="561"/>
      <c r="J185" s="562"/>
      <c r="K185" s="562"/>
    </row>
    <row r="186" spans="1:11">
      <c r="A186" s="474" t="s">
        <v>126</v>
      </c>
      <c r="B186" s="475" t="s">
        <v>123</v>
      </c>
      <c r="C186" s="549">
        <f>C184</f>
        <v>2637.52</v>
      </c>
      <c r="D186" s="476">
        <f>+C185*D185/1000</f>
        <v>4.4999999999999998E-2</v>
      </c>
      <c r="E186" s="477">
        <f>C186*D186</f>
        <v>118.6884</v>
      </c>
      <c r="F186" s="434"/>
      <c r="G186" s="570"/>
      <c r="I186" s="568"/>
      <c r="J186" s="568"/>
      <c r="K186" s="568"/>
    </row>
    <row r="187" spans="1:11" ht="15.75">
      <c r="A187" s="478" t="s">
        <v>127</v>
      </c>
      <c r="B187" s="479" t="s">
        <v>125</v>
      </c>
      <c r="C187" s="480">
        <v>0.3</v>
      </c>
      <c r="D187" s="481">
        <v>75</v>
      </c>
      <c r="E187" s="482"/>
      <c r="F187" s="434"/>
      <c r="G187" s="359"/>
      <c r="H187" s="560"/>
      <c r="I187" s="561"/>
      <c r="J187" s="562"/>
      <c r="K187" s="562"/>
    </row>
    <row r="188" spans="1:11">
      <c r="A188" s="474" t="s">
        <v>128</v>
      </c>
      <c r="B188" s="475" t="s">
        <v>123</v>
      </c>
      <c r="C188" s="549">
        <f>C184</f>
        <v>2637.52</v>
      </c>
      <c r="D188" s="476">
        <f>+C187*D187/1000</f>
        <v>2.2499999999999999E-2</v>
      </c>
      <c r="E188" s="477">
        <f>C188*D188</f>
        <v>59.344200000000001</v>
      </c>
      <c r="F188" s="434"/>
      <c r="G188" s="570"/>
      <c r="I188" s="568"/>
      <c r="J188" s="568"/>
      <c r="K188" s="568"/>
    </row>
    <row r="189" spans="1:11" ht="15.75">
      <c r="A189" s="469" t="s">
        <v>129</v>
      </c>
      <c r="B189" s="470" t="s">
        <v>125</v>
      </c>
      <c r="C189" s="471">
        <v>6</v>
      </c>
      <c r="D189" s="472">
        <v>22</v>
      </c>
      <c r="E189" s="473"/>
      <c r="F189" s="434"/>
      <c r="G189" s="359"/>
      <c r="H189" s="560"/>
      <c r="I189" s="561"/>
      <c r="J189" s="562"/>
      <c r="K189" s="562"/>
    </row>
    <row r="190" spans="1:11">
      <c r="A190" s="474" t="s">
        <v>130</v>
      </c>
      <c r="B190" s="475" t="s">
        <v>123</v>
      </c>
      <c r="C190" s="549">
        <f>C184</f>
        <v>2637.52</v>
      </c>
      <c r="D190" s="476">
        <f>+C189*D189/1000</f>
        <v>0.13200000000000001</v>
      </c>
      <c r="E190" s="477">
        <f>C190*D190</f>
        <v>348.15264000000002</v>
      </c>
      <c r="F190" s="434"/>
      <c r="G190" s="570"/>
      <c r="I190" s="568"/>
      <c r="J190" s="568"/>
      <c r="K190" s="568"/>
    </row>
    <row r="191" spans="1:11" ht="15.75">
      <c r="A191" s="469" t="s">
        <v>131</v>
      </c>
      <c r="B191" s="470" t="s">
        <v>132</v>
      </c>
      <c r="C191" s="471">
        <v>2</v>
      </c>
      <c r="D191" s="472">
        <v>29</v>
      </c>
      <c r="E191" s="473"/>
      <c r="F191" s="434"/>
      <c r="G191" s="359"/>
      <c r="H191" s="560"/>
      <c r="I191" s="561"/>
      <c r="J191" s="562"/>
      <c r="K191" s="562"/>
    </row>
    <row r="192" spans="1:11">
      <c r="A192" s="474" t="s">
        <v>133</v>
      </c>
      <c r="B192" s="475" t="s">
        <v>123</v>
      </c>
      <c r="C192" s="549">
        <f>C184</f>
        <v>2637.52</v>
      </c>
      <c r="D192" s="476">
        <f>+C191*D191/1000</f>
        <v>5.8000000000000003E-2</v>
      </c>
      <c r="E192" s="477">
        <f>C192*D192</f>
        <v>152.97615999999999</v>
      </c>
      <c r="F192" s="434"/>
      <c r="G192" s="358"/>
      <c r="I192" s="568"/>
      <c r="J192" s="568"/>
      <c r="K192" s="568"/>
    </row>
    <row r="193" spans="1:11" ht="15">
      <c r="A193" s="443" t="s">
        <v>134</v>
      </c>
      <c r="B193" s="439" t="s">
        <v>135</v>
      </c>
      <c r="C193" s="483"/>
      <c r="D193" s="484">
        <f>IFERROR(D184+D186+D188+D190+D192,0)</f>
        <v>3.6624999999999996</v>
      </c>
      <c r="E193" s="433"/>
      <c r="F193" s="434"/>
      <c r="G193" s="358"/>
      <c r="I193" s="568"/>
      <c r="J193" s="568"/>
      <c r="K193" s="568"/>
    </row>
    <row r="194" spans="1:11" ht="15.75" thickBot="1">
      <c r="A194" s="849" t="str">
        <f>F182</f>
        <v>Total (R$)</v>
      </c>
      <c r="B194" s="850"/>
      <c r="C194" s="850"/>
      <c r="D194" s="850"/>
      <c r="E194" s="851"/>
      <c r="F194" s="451">
        <f>SUM(E183:E192)</f>
        <v>9659.9169999999995</v>
      </c>
      <c r="I194" s="568"/>
      <c r="J194" s="568"/>
      <c r="K194" s="568"/>
    </row>
    <row r="195" spans="1:11" ht="11.25" customHeight="1">
      <c r="I195" s="568"/>
      <c r="J195" s="568"/>
      <c r="K195" s="568"/>
    </row>
    <row r="196" spans="1:11">
      <c r="A196" s="455" t="s">
        <v>136</v>
      </c>
      <c r="I196" s="568"/>
      <c r="J196" s="568"/>
      <c r="K196" s="568"/>
    </row>
    <row r="197" spans="1:11" ht="15">
      <c r="A197" s="422" t="s">
        <v>45</v>
      </c>
      <c r="B197" s="423" t="s">
        <v>46</v>
      </c>
      <c r="C197" s="423" t="s">
        <v>39</v>
      </c>
      <c r="D197" s="424" t="s">
        <v>47</v>
      </c>
      <c r="E197" s="424" t="s">
        <v>48</v>
      </c>
      <c r="F197" s="425" t="s">
        <v>420</v>
      </c>
      <c r="I197" s="568"/>
      <c r="J197" s="568"/>
      <c r="K197" s="568"/>
    </row>
    <row r="198" spans="1:11" ht="15.75">
      <c r="A198" s="360" t="s">
        <v>137</v>
      </c>
      <c r="B198" s="426" t="s">
        <v>135</v>
      </c>
      <c r="C198" s="550">
        <f>SUM(B180)</f>
        <v>2637.52</v>
      </c>
      <c r="D198" s="427">
        <v>0.85</v>
      </c>
      <c r="E198" s="428">
        <f>C198*D198</f>
        <v>2241.8919999999998</v>
      </c>
      <c r="F198" s="429"/>
      <c r="G198" s="359"/>
      <c r="H198" s="560"/>
      <c r="I198" s="561"/>
      <c r="J198" s="562"/>
      <c r="K198" s="562"/>
    </row>
    <row r="199" spans="1:11" ht="15.75">
      <c r="A199" s="849" t="str">
        <f>F197</f>
        <v>Total (R$)</v>
      </c>
      <c r="B199" s="850"/>
      <c r="C199" s="850"/>
      <c r="D199" s="850"/>
      <c r="E199" s="851"/>
      <c r="F199" s="451">
        <f>E198</f>
        <v>2241.8919999999998</v>
      </c>
      <c r="G199" s="359"/>
      <c r="I199" s="568"/>
      <c r="J199" s="568"/>
      <c r="K199" s="568"/>
    </row>
    <row r="200" spans="1:11" ht="11.25" customHeight="1">
      <c r="I200" s="568"/>
      <c r="J200" s="568"/>
      <c r="K200" s="568"/>
    </row>
    <row r="201" spans="1:11">
      <c r="A201" s="455" t="s">
        <v>138</v>
      </c>
      <c r="I201" s="568"/>
      <c r="J201" s="568"/>
      <c r="K201" s="568"/>
    </row>
    <row r="202" spans="1:11" ht="15">
      <c r="A202" s="422" t="s">
        <v>45</v>
      </c>
      <c r="B202" s="423" t="s">
        <v>46</v>
      </c>
      <c r="C202" s="423" t="s">
        <v>39</v>
      </c>
      <c r="D202" s="424" t="s">
        <v>47</v>
      </c>
      <c r="E202" s="424" t="s">
        <v>48</v>
      </c>
      <c r="F202" s="425" t="s">
        <v>420</v>
      </c>
      <c r="I202" s="568"/>
      <c r="J202" s="568"/>
      <c r="K202" s="568"/>
    </row>
    <row r="203" spans="1:11">
      <c r="A203" s="360" t="s">
        <v>411</v>
      </c>
      <c r="B203" s="426" t="s">
        <v>70</v>
      </c>
      <c r="C203" s="486">
        <v>6</v>
      </c>
      <c r="D203" s="427">
        <f>AVERAGE(1223,1334,3192,2795.18,1930,2605,2800,1500,2400,1333,1570,1600,2894.1,2039.4)</f>
        <v>2086.8342857142857</v>
      </c>
      <c r="E203" s="428">
        <f>C203*D203</f>
        <v>12521.005714285715</v>
      </c>
      <c r="F203" s="429"/>
      <c r="H203" s="560"/>
      <c r="I203" s="561"/>
      <c r="J203" s="562"/>
      <c r="K203" s="562"/>
    </row>
    <row r="204" spans="1:11">
      <c r="A204" s="360" t="s">
        <v>139</v>
      </c>
      <c r="B204" s="426" t="s">
        <v>70</v>
      </c>
      <c r="C204" s="486">
        <v>1</v>
      </c>
      <c r="D204" s="487"/>
      <c r="E204" s="428"/>
      <c r="F204" s="434"/>
      <c r="I204" s="568"/>
      <c r="J204" s="568"/>
      <c r="K204" s="568"/>
    </row>
    <row r="205" spans="1:11">
      <c r="A205" s="360" t="s">
        <v>140</v>
      </c>
      <c r="B205" s="426" t="s">
        <v>70</v>
      </c>
      <c r="C205" s="456">
        <v>6</v>
      </c>
      <c r="D205" s="427">
        <f>AVERAGE(920,609.5,609.5,600,600)</f>
        <v>667.8</v>
      </c>
      <c r="E205" s="428">
        <f>C205*D205</f>
        <v>4006.7999999999997</v>
      </c>
      <c r="F205" s="434"/>
      <c r="H205" s="560"/>
      <c r="I205" s="561"/>
      <c r="J205" s="562"/>
      <c r="K205" s="562"/>
    </row>
    <row r="206" spans="1:11">
      <c r="A206" s="380" t="s">
        <v>141</v>
      </c>
      <c r="B206" s="430" t="s">
        <v>142</v>
      </c>
      <c r="C206" s="488">
        <v>50000</v>
      </c>
      <c r="D206" s="435">
        <f>E203+E205</f>
        <v>16527.805714285714</v>
      </c>
      <c r="E206" s="433">
        <f>IFERROR(D206/C206,"-")</f>
        <v>0.3305561142857143</v>
      </c>
      <c r="F206" s="434"/>
      <c r="I206" s="568"/>
      <c r="J206" s="568"/>
      <c r="K206" s="568"/>
    </row>
    <row r="207" spans="1:11">
      <c r="A207" s="380" t="s">
        <v>143</v>
      </c>
      <c r="B207" s="430" t="s">
        <v>123</v>
      </c>
      <c r="C207" s="485">
        <f>B180</f>
        <v>2637.52</v>
      </c>
      <c r="D207" s="435">
        <f>E206</f>
        <v>0.3305561142857143</v>
      </c>
      <c r="E207" s="433">
        <f>IFERROR(C207*D207,0)</f>
        <v>871.84836255085713</v>
      </c>
      <c r="F207" s="434"/>
      <c r="I207" s="568"/>
      <c r="J207" s="568"/>
      <c r="K207" s="568"/>
    </row>
    <row r="208" spans="1:11" ht="15">
      <c r="A208" s="849" t="str">
        <f>F202</f>
        <v>Total (R$)</v>
      </c>
      <c r="B208" s="850"/>
      <c r="C208" s="850"/>
      <c r="D208" s="850"/>
      <c r="E208" s="851"/>
      <c r="F208" s="451">
        <f>E207</f>
        <v>871.84836255085713</v>
      </c>
      <c r="I208" s="568"/>
      <c r="J208" s="568"/>
      <c r="K208" s="568"/>
    </row>
    <row r="209" spans="1:11" ht="11.25" customHeight="1">
      <c r="I209" s="568"/>
      <c r="J209" s="568"/>
      <c r="K209" s="568"/>
    </row>
    <row r="210" spans="1:11" ht="11.25" customHeight="1">
      <c r="G210" s="407"/>
    </row>
    <row r="211" spans="1:11" ht="15">
      <c r="A211" s="489" t="s">
        <v>144</v>
      </c>
      <c r="B211" s="490"/>
      <c r="C211" s="490"/>
      <c r="D211" s="404"/>
      <c r="E211" s="404"/>
      <c r="F211" s="385">
        <f>+SUM(F140:F210)</f>
        <v>17784.904839550854</v>
      </c>
      <c r="G211" s="407"/>
    </row>
    <row r="212" spans="1:11" ht="11.25" customHeight="1">
      <c r="G212" s="407"/>
    </row>
    <row r="213" spans="1:11" ht="15">
      <c r="A213" s="408" t="s">
        <v>145</v>
      </c>
      <c r="B213" s="408"/>
      <c r="C213" s="408"/>
      <c r="D213" s="491"/>
      <c r="E213" s="491"/>
      <c r="F213" s="492"/>
      <c r="G213" s="407"/>
    </row>
    <row r="214" spans="1:11" ht="11.25" customHeight="1">
      <c r="G214" s="407"/>
    </row>
    <row r="215" spans="1:11" ht="15">
      <c r="A215" s="422" t="s">
        <v>45</v>
      </c>
      <c r="B215" s="423" t="s">
        <v>46</v>
      </c>
      <c r="C215" s="423" t="s">
        <v>39</v>
      </c>
      <c r="D215" s="424" t="s">
        <v>47</v>
      </c>
      <c r="E215" s="424" t="s">
        <v>48</v>
      </c>
      <c r="F215" s="425" t="s">
        <v>420</v>
      </c>
      <c r="G215" s="407"/>
    </row>
    <row r="216" spans="1:11">
      <c r="A216" s="380" t="s">
        <v>146</v>
      </c>
      <c r="B216" s="430" t="s">
        <v>70</v>
      </c>
      <c r="C216" s="493">
        <v>8.3333333333333301E-2</v>
      </c>
      <c r="D216" s="427">
        <v>47.95</v>
      </c>
      <c r="E216" s="433">
        <f>C216*D216</f>
        <v>3.9958333333333322</v>
      </c>
      <c r="F216" s="452"/>
      <c r="H216" s="560"/>
      <c r="I216" s="561"/>
      <c r="J216" s="562"/>
      <c r="K216" s="562"/>
    </row>
    <row r="217" spans="1:11">
      <c r="A217" s="380" t="s">
        <v>147</v>
      </c>
      <c r="B217" s="430" t="s">
        <v>70</v>
      </c>
      <c r="C217" s="493">
        <v>8.3333333333333301E-2</v>
      </c>
      <c r="D217" s="427">
        <v>51.88</v>
      </c>
      <c r="E217" s="433">
        <f>C217*D217</f>
        <v>4.3233333333333315</v>
      </c>
      <c r="F217" s="436"/>
      <c r="H217" s="560"/>
      <c r="I217" s="561"/>
      <c r="J217" s="562"/>
      <c r="K217" s="562"/>
    </row>
    <row r="218" spans="1:11">
      <c r="A218" s="380" t="s">
        <v>148</v>
      </c>
      <c r="B218" s="430" t="s">
        <v>70</v>
      </c>
      <c r="C218" s="493">
        <v>0.33333333333333298</v>
      </c>
      <c r="D218" s="427">
        <v>45.56</v>
      </c>
      <c r="E218" s="433">
        <f>C218*D218</f>
        <v>15.186666666666651</v>
      </c>
      <c r="F218" s="436"/>
      <c r="H218" s="560"/>
      <c r="I218" s="561"/>
      <c r="J218" s="562"/>
      <c r="K218" s="562"/>
    </row>
    <row r="219" spans="1:11" ht="15">
      <c r="A219" s="849" t="str">
        <f>F215</f>
        <v>Total (R$)</v>
      </c>
      <c r="B219" s="850"/>
      <c r="C219" s="850"/>
      <c r="D219" s="850"/>
      <c r="E219" s="851"/>
      <c r="F219" s="451">
        <f>SUM(E216:E218)</f>
        <v>23.505833333333314</v>
      </c>
      <c r="G219" s="564"/>
      <c r="H219" s="560"/>
      <c r="I219" s="561"/>
      <c r="J219" s="562"/>
      <c r="K219" s="562"/>
    </row>
    <row r="220" spans="1:11" ht="11.25" customHeight="1">
      <c r="G220" s="564"/>
      <c r="H220" s="571"/>
      <c r="I220" s="561"/>
      <c r="J220" s="562"/>
      <c r="K220" s="562"/>
    </row>
    <row r="221" spans="1:11" ht="15">
      <c r="A221" s="852" t="s">
        <v>149</v>
      </c>
      <c r="B221" s="853"/>
      <c r="C221" s="853"/>
      <c r="D221" s="853"/>
      <c r="E221" s="853"/>
      <c r="F221" s="494">
        <f>+F219</f>
        <v>23.505833333333314</v>
      </c>
      <c r="G221" s="407"/>
    </row>
    <row r="222" spans="1:11" ht="11.25" customHeight="1">
      <c r="G222" s="407"/>
    </row>
    <row r="223" spans="1:11" ht="15">
      <c r="A223" s="408" t="s">
        <v>150</v>
      </c>
      <c r="B223" s="408"/>
      <c r="C223" s="408"/>
      <c r="D223" s="491"/>
      <c r="E223" s="491"/>
      <c r="F223" s="492"/>
      <c r="G223" s="407"/>
    </row>
    <row r="224" spans="1:11" ht="11.25" customHeight="1">
      <c r="G224" s="407"/>
    </row>
    <row r="225" spans="1:11" ht="15">
      <c r="A225" s="422" t="s">
        <v>45</v>
      </c>
      <c r="B225" s="423" t="s">
        <v>46</v>
      </c>
      <c r="C225" s="423" t="s">
        <v>39</v>
      </c>
      <c r="D225" s="424" t="s">
        <v>47</v>
      </c>
      <c r="E225" s="424" t="s">
        <v>48</v>
      </c>
      <c r="F225" s="425" t="s">
        <v>420</v>
      </c>
    </row>
    <row r="226" spans="1:11">
      <c r="A226" s="380" t="s">
        <v>151</v>
      </c>
      <c r="B226" s="430" t="s">
        <v>152</v>
      </c>
      <c r="C226" s="495">
        <f>C140</f>
        <v>1</v>
      </c>
      <c r="D226" s="441">
        <v>450</v>
      </c>
      <c r="E226" s="433">
        <f>+D226*C226</f>
        <v>450</v>
      </c>
      <c r="F226" s="452"/>
      <c r="G226" s="121"/>
      <c r="H226" s="560"/>
      <c r="I226" s="561"/>
      <c r="J226" s="562"/>
      <c r="K226" s="562"/>
    </row>
    <row r="227" spans="1:11">
      <c r="A227" s="380" t="s">
        <v>153</v>
      </c>
      <c r="B227" s="430" t="s">
        <v>50</v>
      </c>
      <c r="C227" s="430">
        <v>60</v>
      </c>
      <c r="D227" s="435">
        <f>SUM(E226:E226)</f>
        <v>450</v>
      </c>
      <c r="E227" s="433">
        <f>+D227/C227</f>
        <v>7.5</v>
      </c>
      <c r="F227" s="436"/>
      <c r="G227" s="121"/>
    </row>
    <row r="228" spans="1:11">
      <c r="A228" s="380" t="s">
        <v>154</v>
      </c>
      <c r="B228" s="430" t="s">
        <v>70</v>
      </c>
      <c r="C228" s="495">
        <f>+C226</f>
        <v>1</v>
      </c>
      <c r="D228" s="441">
        <v>100</v>
      </c>
      <c r="E228" s="433">
        <f>C228*D228</f>
        <v>100</v>
      </c>
      <c r="F228" s="436"/>
      <c r="H228" s="560"/>
      <c r="I228" s="561"/>
      <c r="J228" s="562"/>
      <c r="K228" s="562"/>
    </row>
    <row r="229" spans="1:11">
      <c r="A229" s="380" t="s">
        <v>155</v>
      </c>
      <c r="B229" s="430" t="s">
        <v>50</v>
      </c>
      <c r="C229" s="430">
        <v>1</v>
      </c>
      <c r="D229" s="435">
        <f>+E228</f>
        <v>100</v>
      </c>
      <c r="E229" s="433">
        <f>+D229/C229</f>
        <v>100</v>
      </c>
      <c r="F229" s="436"/>
    </row>
    <row r="230" spans="1:11" ht="15">
      <c r="A230" s="849" t="str">
        <f>F225</f>
        <v>Total (R$)</v>
      </c>
      <c r="B230" s="844"/>
      <c r="C230" s="551"/>
      <c r="D230" s="449" t="s">
        <v>58</v>
      </c>
      <c r="E230" s="450">
        <f>$B$49</f>
        <v>0.4773</v>
      </c>
      <c r="F230" s="451">
        <f>(E227+E229)*E230</f>
        <v>51.309750000000001</v>
      </c>
      <c r="H230" s="571"/>
    </row>
    <row r="231" spans="1:11" s="573" customFormat="1" ht="11.25" customHeight="1">
      <c r="A231" s="407"/>
      <c r="B231" s="407"/>
      <c r="C231" s="407"/>
      <c r="D231" s="357"/>
      <c r="E231" s="357"/>
      <c r="F231" s="357"/>
      <c r="G231" s="552"/>
      <c r="H231" s="407"/>
    </row>
    <row r="232" spans="1:11" ht="15">
      <c r="A232" s="489" t="s">
        <v>156</v>
      </c>
      <c r="B232" s="490"/>
      <c r="C232" s="490"/>
      <c r="D232" s="404"/>
      <c r="E232" s="404"/>
      <c r="F232" s="494">
        <f>+F230</f>
        <v>51.309750000000001</v>
      </c>
    </row>
    <row r="233" spans="1:11" ht="11.25" customHeight="1">
      <c r="H233" s="573"/>
    </row>
    <row r="234" spans="1:11" ht="17.25" customHeight="1">
      <c r="A234" s="489" t="s">
        <v>157</v>
      </c>
      <c r="B234" s="498"/>
      <c r="C234" s="498"/>
      <c r="D234" s="499"/>
      <c r="E234" s="499"/>
      <c r="F234" s="535">
        <f>+F98+F132+F211+F221+F232</f>
        <v>26268.567957120238</v>
      </c>
    </row>
    <row r="235" spans="1:11" ht="11.25" customHeight="1"/>
    <row r="236" spans="1:11" s="357" customFormat="1" ht="15">
      <c r="A236" s="408" t="s">
        <v>158</v>
      </c>
      <c r="B236" s="407"/>
      <c r="C236" s="407"/>
      <c r="H236" s="407"/>
      <c r="I236" s="407"/>
      <c r="J236" s="407"/>
    </row>
    <row r="237" spans="1:11" s="357" customFormat="1" ht="11.25" customHeight="1">
      <c r="A237" s="407"/>
      <c r="B237" s="407"/>
      <c r="C237" s="407"/>
      <c r="H237" s="407"/>
      <c r="I237" s="407"/>
      <c r="J237" s="407"/>
    </row>
    <row r="238" spans="1:11" s="357" customFormat="1" ht="15">
      <c r="A238" s="422" t="s">
        <v>45</v>
      </c>
      <c r="B238" s="423" t="s">
        <v>46</v>
      </c>
      <c r="C238" s="423" t="s">
        <v>39</v>
      </c>
      <c r="D238" s="424" t="s">
        <v>47</v>
      </c>
      <c r="E238" s="424" t="s">
        <v>48</v>
      </c>
      <c r="F238" s="425" t="s">
        <v>420</v>
      </c>
      <c r="H238" s="407"/>
      <c r="I238" s="407"/>
      <c r="J238" s="407"/>
    </row>
    <row r="239" spans="1:11" s="357" customFormat="1">
      <c r="A239" s="360" t="s">
        <v>159</v>
      </c>
      <c r="B239" s="426" t="s">
        <v>9</v>
      </c>
      <c r="C239" s="437">
        <f>'4.BDI'!B14*100</f>
        <v>26.36</v>
      </c>
      <c r="D239" s="456">
        <f>+F234</f>
        <v>26268.567957120238</v>
      </c>
      <c r="E239" s="428">
        <f>C239*D239/100</f>
        <v>6924.3945134968953</v>
      </c>
      <c r="F239" s="429"/>
      <c r="H239" s="407"/>
      <c r="I239" s="407"/>
      <c r="J239" s="407"/>
    </row>
    <row r="240" spans="1:11" s="357" customFormat="1" ht="15">
      <c r="A240" s="849" t="str">
        <f>F238</f>
        <v>Total (R$)</v>
      </c>
      <c r="B240" s="844"/>
      <c r="C240" s="844"/>
      <c r="D240" s="844"/>
      <c r="E240" s="844"/>
      <c r="F240" s="496">
        <f>+E239</f>
        <v>6924.3945134968953</v>
      </c>
      <c r="H240" s="407"/>
      <c r="I240" s="407"/>
      <c r="J240" s="407"/>
    </row>
    <row r="241" spans="1:10" s="357" customFormat="1" ht="11.25" customHeight="1">
      <c r="A241" s="407"/>
      <c r="B241" s="407"/>
      <c r="C241" s="407"/>
      <c r="H241" s="407"/>
      <c r="I241" s="407"/>
      <c r="J241" s="407"/>
    </row>
    <row r="242" spans="1:10" s="357" customFormat="1" ht="15">
      <c r="A242" s="489" t="s">
        <v>160</v>
      </c>
      <c r="B242" s="498"/>
      <c r="C242" s="498"/>
      <c r="D242" s="499"/>
      <c r="E242" s="499"/>
      <c r="F242" s="535">
        <f>F240</f>
        <v>6924.3945134968953</v>
      </c>
      <c r="H242" s="407"/>
      <c r="I242" s="407"/>
      <c r="J242" s="407"/>
    </row>
    <row r="243" spans="1:10" s="357" customFormat="1" ht="15">
      <c r="A243" s="408"/>
      <c r="B243" s="408"/>
      <c r="C243" s="408"/>
      <c r="D243" s="491"/>
      <c r="E243" s="491"/>
      <c r="F243" s="492"/>
      <c r="H243" s="407"/>
      <c r="I243" s="407"/>
      <c r="J243" s="407"/>
    </row>
    <row r="244" spans="1:10" s="357" customFormat="1" ht="11.25" customHeight="1">
      <c r="A244" s="407"/>
      <c r="B244" s="407"/>
      <c r="C244" s="407"/>
      <c r="H244" s="407"/>
      <c r="I244" s="407"/>
      <c r="J244" s="407"/>
    </row>
    <row r="245" spans="1:10" s="357" customFormat="1" ht="24.75" customHeight="1">
      <c r="A245" s="489" t="s">
        <v>161</v>
      </c>
      <c r="B245" s="498"/>
      <c r="C245" s="498"/>
      <c r="D245" s="499"/>
      <c r="E245" s="499"/>
      <c r="F245" s="535">
        <f>F234+F242</f>
        <v>33192.962470617131</v>
      </c>
      <c r="H245" s="560"/>
      <c r="I245" s="561"/>
      <c r="J245" s="562"/>
    </row>
    <row r="246" spans="1:10" s="357" customFormat="1">
      <c r="A246" s="407"/>
      <c r="B246" s="407"/>
      <c r="C246" s="407"/>
      <c r="H246" s="407"/>
      <c r="I246" s="407"/>
      <c r="J246" s="407"/>
    </row>
    <row r="247" spans="1:10" s="357" customFormat="1" ht="16.149999999999999" hidden="1" customHeight="1">
      <c r="A247" s="460" t="s">
        <v>162</v>
      </c>
      <c r="B247" s="553"/>
      <c r="C247" s="553"/>
      <c r="D247" s="554">
        <v>0</v>
      </c>
      <c r="E247" s="555" t="s">
        <v>163</v>
      </c>
      <c r="H247" s="407"/>
      <c r="I247" s="407"/>
      <c r="J247" s="407"/>
    </row>
    <row r="248" spans="1:10" s="357" customFormat="1" hidden="1">
      <c r="A248" s="407"/>
      <c r="B248" s="407"/>
      <c r="C248" s="407"/>
      <c r="H248" s="407"/>
      <c r="I248" s="407"/>
      <c r="J248" s="407"/>
    </row>
    <row r="249" spans="1:10" s="357" customFormat="1" ht="25.5" hidden="1" customHeight="1">
      <c r="A249" s="489" t="s">
        <v>164</v>
      </c>
      <c r="B249" s="490"/>
      <c r="C249" s="490"/>
      <c r="D249" s="404"/>
      <c r="E249" s="556" t="s">
        <v>165</v>
      </c>
      <c r="F249" s="557" t="str">
        <f>IFERROR(F245/D247,"-")</f>
        <v>-</v>
      </c>
      <c r="H249" s="407"/>
      <c r="I249" s="407"/>
      <c r="J249" s="407"/>
    </row>
    <row r="250" spans="1:10" s="357" customFormat="1" ht="12.6" hidden="1" customHeight="1">
      <c r="A250" s="408"/>
      <c r="B250" s="408"/>
      <c r="C250" s="408"/>
      <c r="D250" s="491"/>
      <c r="E250" s="491"/>
      <c r="F250" s="491"/>
      <c r="H250" s="407"/>
      <c r="I250" s="407"/>
      <c r="J250" s="407"/>
    </row>
    <row r="251" spans="1:10" s="357" customFormat="1" ht="9.75" customHeight="1">
      <c r="A251" s="507"/>
      <c r="H251" s="407"/>
      <c r="I251" s="407"/>
      <c r="J251" s="407"/>
    </row>
    <row r="252" spans="1:10" s="357" customFormat="1" ht="9.75" customHeight="1">
      <c r="A252" s="507"/>
      <c r="H252" s="407"/>
      <c r="I252" s="407"/>
      <c r="J252" s="407"/>
    </row>
    <row r="253" spans="1:10" s="357" customFormat="1" ht="9.75" customHeight="1">
      <c r="A253" s="507"/>
      <c r="H253" s="407"/>
      <c r="I253" s="407"/>
      <c r="J253" s="407"/>
    </row>
    <row r="283" s="407" customFormat="1" ht="9" customHeight="1"/>
  </sheetData>
  <mergeCells count="58">
    <mergeCell ref="A221:E221"/>
    <mergeCell ref="A230:B230"/>
    <mergeCell ref="A240:E240"/>
    <mergeCell ref="A168:C168"/>
    <mergeCell ref="A194:E194"/>
    <mergeCell ref="A199:E199"/>
    <mergeCell ref="A208:E208"/>
    <mergeCell ref="A219:E219"/>
    <mergeCell ref="A118:F118"/>
    <mergeCell ref="A119:F119"/>
    <mergeCell ref="A120:F120"/>
    <mergeCell ref="A130:C130"/>
    <mergeCell ref="A152:C152"/>
    <mergeCell ref="A100:F100"/>
    <mergeCell ref="A101:F101"/>
    <mergeCell ref="A102:F102"/>
    <mergeCell ref="A103:F103"/>
    <mergeCell ref="A117:C117"/>
    <mergeCell ref="A90:E90"/>
    <mergeCell ref="A91:F91"/>
    <mergeCell ref="A92:F92"/>
    <mergeCell ref="A96:C96"/>
    <mergeCell ref="A99:F99"/>
    <mergeCell ref="A77:F77"/>
    <mergeCell ref="A78:F78"/>
    <mergeCell ref="A84:E84"/>
    <mergeCell ref="A85:F85"/>
    <mergeCell ref="A86:F86"/>
    <mergeCell ref="A65:F65"/>
    <mergeCell ref="A66:F66"/>
    <mergeCell ref="A72:D72"/>
    <mergeCell ref="A74:D74"/>
    <mergeCell ref="A76:C76"/>
    <mergeCell ref="A53:F53"/>
    <mergeCell ref="A59:D59"/>
    <mergeCell ref="A61:D61"/>
    <mergeCell ref="A63:C63"/>
    <mergeCell ref="A64:F64"/>
    <mergeCell ref="A40:D40"/>
    <mergeCell ref="A45:D45"/>
    <mergeCell ref="A50:F50"/>
    <mergeCell ref="A51:F51"/>
    <mergeCell ref="A52:F52"/>
    <mergeCell ref="A13:F13"/>
    <mergeCell ref="A14:F14"/>
    <mergeCell ref="A16:F16"/>
    <mergeCell ref="A24:C24"/>
    <mergeCell ref="A39:E39"/>
    <mergeCell ref="A6:F6"/>
    <mergeCell ref="A7:F7"/>
    <mergeCell ref="A8:F8"/>
    <mergeCell ref="A9:F9"/>
    <mergeCell ref="A12:F12"/>
    <mergeCell ref="A1:F1"/>
    <mergeCell ref="A2:F2"/>
    <mergeCell ref="A3:F3"/>
    <mergeCell ref="A4:F4"/>
    <mergeCell ref="A5:F5"/>
  </mergeCells>
  <phoneticPr fontId="56" type="noConversion"/>
  <hyperlinks>
    <hyperlink ref="A154" location="AbaRemun" display="3.2.2. Remuneração do Capital" xr:uid="{00000000-0004-0000-0300-000000000000}"/>
    <hyperlink ref="A138" location="AbaDeprec" display="3.2.1. Depreciação" xr:uid="{00000000-0004-0000-0300-000001000000}"/>
  </hyperlinks>
  <pageMargins left="0.90551181102362199" right="0.511811023622047" top="0.74803149606299202" bottom="0.74803149606299202" header="0.31496062992126" footer="0.31496062992126"/>
  <pageSetup paperSize="9" scale="68" fitToHeight="0" orientation="portrait" r:id="rId1"/>
  <headerFooter alignWithMargins="0">
    <oddFooter>&amp;R&amp;P de &amp;N</oddFooter>
  </headerFooter>
  <rowBreaks count="4" manualBreakCount="4">
    <brk id="50" max="5" man="1"/>
    <brk id="77" max="5" man="1"/>
    <brk id="133" max="5" man="1"/>
    <brk id="195" max="5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107"/>
  <sheetViews>
    <sheetView view="pageBreakPreview" topLeftCell="A43" zoomScale="98" zoomScaleNormal="100" workbookViewId="0">
      <selection activeCell="G4" sqref="G1:G1048576"/>
    </sheetView>
  </sheetViews>
  <sheetFormatPr defaultColWidth="9.140625" defaultRowHeight="15.75"/>
  <cols>
    <col min="1" max="1" width="51.5703125" style="120" customWidth="1"/>
    <col min="2" max="2" width="19.85546875" style="120" customWidth="1"/>
    <col min="3" max="3" width="14.7109375" style="120" customWidth="1"/>
    <col min="4" max="4" width="16.140625" style="121" customWidth="1"/>
    <col min="5" max="5" width="18.140625" style="121" customWidth="1"/>
    <col min="6" max="6" width="20.85546875" style="121" customWidth="1"/>
    <col min="7" max="7" width="19.42578125" style="121" customWidth="1"/>
    <col min="8" max="8" width="14.28515625" style="122" customWidth="1"/>
    <col min="9" max="9" width="19.140625" style="122" customWidth="1"/>
    <col min="10" max="10" width="13.42578125" style="122" customWidth="1"/>
    <col min="11" max="11" width="16" style="122" customWidth="1"/>
    <col min="12" max="16384" width="9.140625" style="122"/>
  </cols>
  <sheetData>
    <row r="1" spans="1:7" hidden="1">
      <c r="A1" s="749" t="s">
        <v>0</v>
      </c>
      <c r="B1" s="749"/>
      <c r="C1" s="749"/>
      <c r="D1" s="749"/>
      <c r="E1" s="749"/>
      <c r="F1" s="749"/>
    </row>
    <row r="2" spans="1:7" ht="15.6" hidden="1" customHeight="1">
      <c r="A2" s="750" t="s">
        <v>32</v>
      </c>
      <c r="B2" s="750"/>
      <c r="C2" s="750"/>
      <c r="D2" s="750"/>
      <c r="E2" s="750"/>
      <c r="F2" s="750"/>
    </row>
    <row r="3" spans="1:7" ht="15.6" hidden="1" customHeight="1">
      <c r="A3" s="812" t="s">
        <v>33</v>
      </c>
      <c r="B3" s="812"/>
      <c r="C3" s="812"/>
      <c r="D3" s="812"/>
      <c r="E3" s="812"/>
      <c r="F3" s="812"/>
    </row>
    <row r="4" spans="1:7" ht="15.6" customHeight="1">
      <c r="A4" s="796" t="s">
        <v>2</v>
      </c>
      <c r="B4" s="797"/>
      <c r="C4" s="797"/>
      <c r="D4" s="797"/>
      <c r="E4" s="797"/>
      <c r="F4" s="798"/>
    </row>
    <row r="5" spans="1:7" ht="16.5" customHeight="1" thickBot="1">
      <c r="A5" s="799" t="s">
        <v>3</v>
      </c>
      <c r="B5" s="800"/>
      <c r="C5" s="800"/>
      <c r="D5" s="800"/>
      <c r="E5" s="800"/>
      <c r="F5" s="801"/>
    </row>
    <row r="6" spans="1:7">
      <c r="A6" s="854" t="s">
        <v>419</v>
      </c>
      <c r="B6" s="855"/>
      <c r="C6" s="855"/>
      <c r="D6" s="855"/>
      <c r="E6" s="855"/>
      <c r="F6" s="856"/>
    </row>
    <row r="7" spans="1:7" ht="21.75" customHeight="1">
      <c r="A7" s="858" t="s">
        <v>5</v>
      </c>
      <c r="B7" s="859"/>
      <c r="C7" s="859"/>
      <c r="D7" s="859"/>
      <c r="E7" s="859"/>
      <c r="F7" s="860"/>
    </row>
    <row r="8" spans="1:7" ht="32.25" customHeight="1">
      <c r="A8" s="861" t="s">
        <v>416</v>
      </c>
      <c r="B8" s="811"/>
      <c r="C8" s="811"/>
      <c r="D8" s="811"/>
      <c r="E8" s="811"/>
      <c r="F8" s="811"/>
    </row>
    <row r="9" spans="1:7" ht="10.9" customHeight="1">
      <c r="A9" s="382"/>
      <c r="B9" s="383"/>
      <c r="C9" s="383"/>
      <c r="D9" s="384"/>
      <c r="E9" s="384"/>
      <c r="F9" s="384"/>
    </row>
    <row r="10" spans="1:7" ht="15.75" customHeight="1">
      <c r="A10" s="814">
        <v>0</v>
      </c>
      <c r="B10" s="815"/>
      <c r="C10" s="815"/>
      <c r="D10" s="815"/>
      <c r="E10" s="815"/>
      <c r="F10" s="816"/>
    </row>
    <row r="11" spans="1:7" ht="15.75" customHeight="1">
      <c r="A11" s="386" t="s">
        <v>7</v>
      </c>
      <c r="B11" s="387"/>
      <c r="C11" s="387"/>
      <c r="D11" s="388"/>
      <c r="E11" s="389" t="s">
        <v>8</v>
      </c>
      <c r="F11" s="390" t="s">
        <v>9</v>
      </c>
    </row>
    <row r="12" spans="1:7" s="117" customFormat="1" ht="15.75" customHeight="1">
      <c r="A12" s="391" t="str">
        <f>A28</f>
        <v>3. Veículos e Equipamentos</v>
      </c>
      <c r="B12" s="392"/>
      <c r="C12" s="393"/>
      <c r="D12" s="393"/>
      <c r="E12" s="394">
        <f>F55</f>
        <v>957.34683333333351</v>
      </c>
      <c r="F12" s="395">
        <f>IFERROR(E12/$E$17,0)</f>
        <v>0.79138968027856915</v>
      </c>
      <c r="G12" s="138"/>
    </row>
    <row r="13" spans="1:7" ht="15.75" customHeight="1">
      <c r="A13" s="396" t="str">
        <f>A30</f>
        <v>3.2. Estacão de transbordo</v>
      </c>
      <c r="B13" s="397"/>
      <c r="C13" s="398"/>
      <c r="D13" s="398"/>
      <c r="E13" s="399">
        <f>SUM(E14:E15)</f>
        <v>957.34683333333351</v>
      </c>
      <c r="F13" s="400">
        <f>IFERROR(E13/$E$17,0)</f>
        <v>0.79138968027856915</v>
      </c>
    </row>
    <row r="14" spans="1:7" ht="15.75" customHeight="1">
      <c r="A14" s="396" t="str">
        <f>A32</f>
        <v>3.2.1. Depreciação</v>
      </c>
      <c r="B14" s="397"/>
      <c r="C14" s="398"/>
      <c r="D14" s="398"/>
      <c r="E14" s="399">
        <f>F41</f>
        <v>380.21666666666675</v>
      </c>
      <c r="F14" s="400">
        <f>IFERROR(E14/$E$17,0)</f>
        <v>0.31430567877080773</v>
      </c>
    </row>
    <row r="15" spans="1:7" ht="15.75" customHeight="1">
      <c r="A15" s="396" t="str">
        <f>A43</f>
        <v>3.2.2. Remuneração do Capital</v>
      </c>
      <c r="B15" s="397"/>
      <c r="C15" s="398"/>
      <c r="D15" s="398"/>
      <c r="E15" s="399">
        <f>F52</f>
        <v>577.1301666666667</v>
      </c>
      <c r="F15" s="400">
        <f t="shared" ref="F15" si="0">IFERROR(E15/$E$17,0)</f>
        <v>0.47708400150776142</v>
      </c>
    </row>
    <row r="16" spans="1:7" s="117" customFormat="1" ht="15.75" customHeight="1" thickBot="1">
      <c r="A16" s="391" t="str">
        <f>A60</f>
        <v>6. Benefícios e Despesas Indiretas - BDI</v>
      </c>
      <c r="B16" s="392"/>
      <c r="C16" s="393"/>
      <c r="D16" s="393"/>
      <c r="E16" s="401">
        <f>+F66</f>
        <v>252.3566252666667</v>
      </c>
      <c r="F16" s="395">
        <f>IFERROR(E16/$E$17,0)</f>
        <v>0.20861031972143082</v>
      </c>
      <c r="G16" s="138"/>
    </row>
    <row r="17" spans="1:11" ht="15.75" customHeight="1">
      <c r="A17" s="402" t="s">
        <v>170</v>
      </c>
      <c r="B17" s="403"/>
      <c r="C17" s="404"/>
      <c r="D17" s="404"/>
      <c r="E17" s="405">
        <f>E12+E16</f>
        <v>1209.7034586000002</v>
      </c>
      <c r="F17" s="406">
        <f>F12+F16</f>
        <v>1</v>
      </c>
    </row>
    <row r="18" spans="1:11">
      <c r="A18" s="407"/>
      <c r="B18" s="407"/>
      <c r="C18" s="407"/>
      <c r="D18" s="357"/>
      <c r="E18" s="357"/>
      <c r="F18" s="357"/>
    </row>
    <row r="19" spans="1:11">
      <c r="A19" s="407"/>
      <c r="B19" s="407"/>
      <c r="C19" s="407"/>
      <c r="D19" s="357"/>
      <c r="E19" s="357"/>
      <c r="F19" s="357"/>
    </row>
    <row r="20" spans="1:11" ht="15" customHeight="1">
      <c r="A20" s="408" t="s">
        <v>87</v>
      </c>
      <c r="B20" s="407"/>
      <c r="C20" s="407"/>
      <c r="D20" s="357"/>
      <c r="E20" s="357"/>
      <c r="F20" s="357"/>
    </row>
    <row r="21" spans="1:11" ht="15" customHeight="1">
      <c r="A21" s="407"/>
      <c r="B21" s="409"/>
      <c r="C21" s="407"/>
      <c r="D21" s="357"/>
      <c r="E21" s="357"/>
      <c r="F21" s="357"/>
    </row>
    <row r="22" spans="1:11" ht="15" customHeight="1">
      <c r="A22" s="381" t="str">
        <f>+A30</f>
        <v>3.2. Estacão de transbordo</v>
      </c>
      <c r="B22" s="410"/>
      <c r="C22" s="410"/>
      <c r="D22" s="411"/>
      <c r="E22" s="412">
        <f>C40</f>
        <v>1</v>
      </c>
      <c r="F22" s="407"/>
    </row>
    <row r="23" spans="1:11" ht="15" customHeight="1">
      <c r="A23" s="413"/>
      <c r="B23" s="414"/>
      <c r="C23" s="414"/>
      <c r="D23" s="415"/>
      <c r="E23" s="416"/>
      <c r="F23" s="407"/>
    </row>
    <row r="24" spans="1:11">
      <c r="A24" s="378"/>
      <c r="B24" s="378"/>
      <c r="C24" s="378"/>
      <c r="D24" s="407"/>
      <c r="E24" s="417"/>
      <c r="F24" s="407"/>
    </row>
    <row r="25" spans="1:11" s="117" customFormat="1" ht="15.75" customHeight="1">
      <c r="A25" s="418" t="s">
        <v>167</v>
      </c>
      <c r="B25" s="419">
        <v>1</v>
      </c>
      <c r="C25" s="378" t="s">
        <v>172</v>
      </c>
      <c r="D25" s="408"/>
      <c r="E25" s="420"/>
      <c r="F25" s="408"/>
      <c r="G25" s="138"/>
    </row>
    <row r="26" spans="1:11" ht="15.75" customHeight="1">
      <c r="A26" s="826"/>
      <c r="B26" s="826"/>
      <c r="C26" s="826"/>
      <c r="D26" s="826"/>
      <c r="E26" s="826"/>
      <c r="F26" s="826"/>
    </row>
    <row r="27" spans="1:11" ht="11.25" customHeight="1">
      <c r="A27" s="407"/>
      <c r="B27" s="407"/>
      <c r="C27" s="407"/>
      <c r="D27" s="357"/>
      <c r="E27" s="357"/>
      <c r="F27" s="357"/>
      <c r="G27" s="118"/>
      <c r="I27" s="197"/>
      <c r="J27" s="198"/>
      <c r="K27" s="198"/>
    </row>
    <row r="28" spans="1:11">
      <c r="A28" s="408" t="s">
        <v>87</v>
      </c>
      <c r="B28" s="407"/>
      <c r="C28" s="407"/>
      <c r="D28" s="357"/>
      <c r="E28" s="357"/>
      <c r="F28" s="357"/>
      <c r="G28" s="118"/>
      <c r="I28" s="197"/>
      <c r="J28" s="198"/>
      <c r="K28" s="198"/>
    </row>
    <row r="29" spans="1:11" ht="11.25" customHeight="1">
      <c r="A29" s="407"/>
      <c r="B29" s="409"/>
      <c r="C29" s="407"/>
      <c r="D29" s="357"/>
      <c r="E29" s="357"/>
      <c r="F29" s="357"/>
      <c r="G29" s="118"/>
      <c r="I29" s="197"/>
      <c r="J29" s="198"/>
      <c r="K29" s="198"/>
    </row>
    <row r="30" spans="1:11">
      <c r="A30" s="240" t="s">
        <v>441</v>
      </c>
      <c r="B30" s="407"/>
      <c r="C30" s="407"/>
      <c r="D30" s="357"/>
      <c r="E30" s="357"/>
      <c r="F30" s="357"/>
      <c r="G30" s="118"/>
    </row>
    <row r="31" spans="1:11" ht="11.25" customHeight="1">
      <c r="A31" s="407"/>
      <c r="B31" s="407"/>
      <c r="C31" s="407"/>
      <c r="D31" s="357"/>
      <c r="E31" s="357"/>
      <c r="F31" s="357"/>
      <c r="G31" s="118"/>
      <c r="H31" s="196"/>
    </row>
    <row r="32" spans="1:11">
      <c r="A32" s="421" t="s">
        <v>168</v>
      </c>
      <c r="B32" s="407"/>
      <c r="C32" s="407"/>
      <c r="D32" s="357"/>
      <c r="E32" s="357"/>
      <c r="F32" s="357"/>
      <c r="G32" s="118"/>
      <c r="H32" s="196"/>
    </row>
    <row r="33" spans="1:11">
      <c r="A33" s="422" t="s">
        <v>45</v>
      </c>
      <c r="B33" s="423" t="s">
        <v>46</v>
      </c>
      <c r="C33" s="423" t="s">
        <v>39</v>
      </c>
      <c r="D33" s="424" t="s">
        <v>47</v>
      </c>
      <c r="E33" s="424" t="s">
        <v>48</v>
      </c>
      <c r="F33" s="425" t="s">
        <v>420</v>
      </c>
      <c r="G33" s="118"/>
      <c r="H33" s="196"/>
    </row>
    <row r="34" spans="1:11">
      <c r="A34" s="191" t="s">
        <v>417</v>
      </c>
      <c r="B34" s="426" t="s">
        <v>70</v>
      </c>
      <c r="C34" s="426">
        <v>2</v>
      </c>
      <c r="D34" s="427">
        <v>35000</v>
      </c>
      <c r="E34" s="428">
        <f>C34*D34</f>
        <v>70000</v>
      </c>
      <c r="F34" s="429"/>
      <c r="G34" s="118"/>
      <c r="H34" s="196"/>
      <c r="I34" s="197"/>
      <c r="J34" s="198"/>
      <c r="K34" s="198"/>
    </row>
    <row r="35" spans="1:11">
      <c r="A35" s="380" t="s">
        <v>175</v>
      </c>
      <c r="B35" s="430" t="s">
        <v>91</v>
      </c>
      <c r="C35" s="431">
        <v>10</v>
      </c>
      <c r="D35" s="432"/>
      <c r="E35" s="433"/>
      <c r="F35" s="434"/>
      <c r="G35" s="122"/>
      <c r="H35" s="196"/>
    </row>
    <row r="36" spans="1:11">
      <c r="A36" s="380" t="s">
        <v>176</v>
      </c>
      <c r="B36" s="430" t="s">
        <v>91</v>
      </c>
      <c r="C36" s="431">
        <v>0</v>
      </c>
      <c r="D36" s="435"/>
      <c r="E36" s="433"/>
      <c r="F36" s="436"/>
      <c r="G36" s="118"/>
      <c r="H36" s="196"/>
      <c r="I36" s="243"/>
      <c r="J36" s="243"/>
      <c r="K36" s="243"/>
    </row>
    <row r="37" spans="1:11">
      <c r="A37" s="380" t="s">
        <v>177</v>
      </c>
      <c r="B37" s="430" t="s">
        <v>9</v>
      </c>
      <c r="C37" s="437">
        <f>IFERROR(VLOOKUP(C35,'5. Depreciação'!A4:B18,2,FALSE),0)</f>
        <v>65.180000000000007</v>
      </c>
      <c r="D37" s="435">
        <f>E34</f>
        <v>70000</v>
      </c>
      <c r="E37" s="433">
        <f>C37*D37/100</f>
        <v>45626.000000000007</v>
      </c>
      <c r="F37" s="434"/>
      <c r="G37" s="118"/>
      <c r="H37" s="196"/>
    </row>
    <row r="38" spans="1:11">
      <c r="A38" s="438" t="s">
        <v>178</v>
      </c>
      <c r="B38" s="439" t="s">
        <v>50</v>
      </c>
      <c r="C38" s="439">
        <f>C35*12</f>
        <v>120</v>
      </c>
      <c r="D38" s="440">
        <f>IF(C36&lt;=C35,E37,0)</f>
        <v>45626.000000000007</v>
      </c>
      <c r="E38" s="440">
        <f>IFERROR(D38/C38,0)</f>
        <v>380.21666666666675</v>
      </c>
      <c r="F38" s="434"/>
      <c r="G38" s="118"/>
      <c r="H38" s="196"/>
    </row>
    <row r="39" spans="1:11">
      <c r="A39" s="445" t="s">
        <v>181</v>
      </c>
      <c r="B39" s="446"/>
      <c r="C39" s="446"/>
      <c r="D39" s="447"/>
      <c r="E39" s="448">
        <f>E38</f>
        <v>380.21666666666675</v>
      </c>
      <c r="F39" s="434"/>
      <c r="G39" s="122"/>
    </row>
    <row r="40" spans="1:11">
      <c r="A40" s="443" t="s">
        <v>182</v>
      </c>
      <c r="B40" s="439" t="s">
        <v>70</v>
      </c>
      <c r="C40" s="431">
        <v>1</v>
      </c>
      <c r="D40" s="440">
        <f>E39</f>
        <v>380.21666666666675</v>
      </c>
      <c r="E40" s="448">
        <f>C40*D40</f>
        <v>380.21666666666675</v>
      </c>
      <c r="F40" s="434"/>
      <c r="G40" s="122"/>
    </row>
    <row r="41" spans="1:11">
      <c r="A41" s="846" t="str">
        <f>F33</f>
        <v>Total (R$)</v>
      </c>
      <c r="B41" s="862"/>
      <c r="C41" s="863"/>
      <c r="D41" s="449" t="s">
        <v>58</v>
      </c>
      <c r="E41" s="450">
        <f>$B$25</f>
        <v>1</v>
      </c>
      <c r="F41" s="451">
        <f>(E40*E41)</f>
        <v>380.21666666666675</v>
      </c>
      <c r="G41" s="122"/>
    </row>
    <row r="42" spans="1:11" ht="11.25" customHeight="1">
      <c r="A42" s="407"/>
      <c r="B42" s="407"/>
      <c r="C42" s="407"/>
      <c r="D42" s="357"/>
      <c r="E42" s="357"/>
      <c r="F42" s="357"/>
      <c r="G42" s="122"/>
    </row>
    <row r="43" spans="1:11">
      <c r="A43" s="421" t="s">
        <v>169</v>
      </c>
      <c r="B43" s="407"/>
      <c r="C43" s="407"/>
      <c r="D43" s="357"/>
      <c r="E43" s="357"/>
      <c r="F43" s="357"/>
      <c r="G43" s="122"/>
      <c r="H43" s="196"/>
    </row>
    <row r="44" spans="1:11">
      <c r="A44" s="422" t="s">
        <v>45</v>
      </c>
      <c r="B44" s="423" t="s">
        <v>46</v>
      </c>
      <c r="C44" s="423" t="s">
        <v>39</v>
      </c>
      <c r="D44" s="424" t="s">
        <v>47</v>
      </c>
      <c r="E44" s="424" t="s">
        <v>48</v>
      </c>
      <c r="F44" s="425" t="s">
        <v>420</v>
      </c>
      <c r="G44" s="122"/>
      <c r="H44" s="196"/>
    </row>
    <row r="45" spans="1:11">
      <c r="A45" s="360" t="s">
        <v>184</v>
      </c>
      <c r="B45" s="426" t="s">
        <v>70</v>
      </c>
      <c r="C45" s="426">
        <v>2</v>
      </c>
      <c r="D45" s="427">
        <f>D34</f>
        <v>35000</v>
      </c>
      <c r="E45" s="428">
        <f>C45*D45</f>
        <v>70000</v>
      </c>
      <c r="F45" s="452"/>
      <c r="G45" s="118"/>
      <c r="H45" s="196"/>
      <c r="I45" s="197"/>
      <c r="J45" s="198"/>
      <c r="K45" s="198"/>
    </row>
    <row r="46" spans="1:11">
      <c r="A46" s="380" t="s">
        <v>104</v>
      </c>
      <c r="B46" s="430" t="s">
        <v>9</v>
      </c>
      <c r="C46" s="431">
        <v>14</v>
      </c>
      <c r="D46" s="435"/>
      <c r="E46" s="433"/>
      <c r="F46" s="436"/>
      <c r="G46" s="122"/>
      <c r="H46" s="196"/>
    </row>
    <row r="47" spans="1:11">
      <c r="A47" s="380" t="s">
        <v>185</v>
      </c>
      <c r="B47" s="430" t="s">
        <v>51</v>
      </c>
      <c r="C47" s="453">
        <f>IFERROR(IF(C36&lt;=C35,E34-(C37/(100*C35)*C36)*E34,E34-E37),0)</f>
        <v>70000</v>
      </c>
      <c r="D47" s="435"/>
      <c r="E47" s="433"/>
      <c r="F47" s="436"/>
      <c r="G47" s="118"/>
      <c r="H47" s="196"/>
      <c r="I47" s="243"/>
      <c r="J47" s="243"/>
      <c r="K47" s="243"/>
    </row>
    <row r="48" spans="1:11">
      <c r="A48" s="380" t="s">
        <v>186</v>
      </c>
      <c r="B48" s="430" t="s">
        <v>51</v>
      </c>
      <c r="C48" s="432">
        <f>IFERROR(IF(C36&gt;=C35,C47,((((C47)-(E34-E37))*(((C35-C36)+1)/(2*(C35-C36))))+(E34-E37))),0)</f>
        <v>49468.3</v>
      </c>
      <c r="D48" s="435"/>
      <c r="E48" s="433"/>
      <c r="F48" s="436"/>
      <c r="G48" s="118"/>
      <c r="H48" s="196"/>
    </row>
    <row r="49" spans="1:12">
      <c r="A49" s="700" t="s">
        <v>442</v>
      </c>
      <c r="B49" s="439" t="s">
        <v>51</v>
      </c>
      <c r="C49" s="439"/>
      <c r="D49" s="454">
        <f>C46*C48/12/100</f>
        <v>577.1301666666667</v>
      </c>
      <c r="E49" s="440">
        <f>D49</f>
        <v>577.1301666666667</v>
      </c>
      <c r="F49" s="436"/>
      <c r="G49" s="118"/>
      <c r="H49" s="196"/>
    </row>
    <row r="50" spans="1:12">
      <c r="A50" s="445" t="s">
        <v>181</v>
      </c>
      <c r="B50" s="446"/>
      <c r="C50" s="446"/>
      <c r="D50" s="447"/>
      <c r="E50" s="448">
        <f>E49</f>
        <v>577.1301666666667</v>
      </c>
      <c r="F50" s="436"/>
      <c r="G50" s="118"/>
    </row>
    <row r="51" spans="1:12">
      <c r="A51" s="443" t="str">
        <f>A40</f>
        <v>Total da estação de transbordo</v>
      </c>
      <c r="B51" s="439" t="s">
        <v>70</v>
      </c>
      <c r="C51" s="430">
        <f>C40</f>
        <v>1</v>
      </c>
      <c r="D51" s="440">
        <f>E50</f>
        <v>577.1301666666667</v>
      </c>
      <c r="E51" s="448">
        <f>C51*D51</f>
        <v>577.1301666666667</v>
      </c>
      <c r="F51" s="436"/>
      <c r="G51" s="118"/>
      <c r="I51" s="243"/>
      <c r="J51" s="243"/>
      <c r="K51" s="243"/>
    </row>
    <row r="52" spans="1:12">
      <c r="A52" s="864" t="str">
        <f>F44</f>
        <v>Total (R$)</v>
      </c>
      <c r="B52" s="865"/>
      <c r="C52" s="866"/>
      <c r="D52" s="449" t="s">
        <v>58</v>
      </c>
      <c r="E52" s="450">
        <f>$B$25</f>
        <v>1</v>
      </c>
      <c r="F52" s="451">
        <f>(E51*E52)</f>
        <v>577.1301666666667</v>
      </c>
      <c r="G52" s="118"/>
    </row>
    <row r="53" spans="1:12" ht="11.25" customHeight="1">
      <c r="A53" s="407"/>
      <c r="B53" s="407"/>
      <c r="C53" s="407"/>
      <c r="D53" s="357"/>
      <c r="E53" s="357"/>
      <c r="F53" s="357"/>
      <c r="G53" s="118"/>
    </row>
    <row r="54" spans="1:12" ht="11.25" customHeight="1">
      <c r="A54" s="407"/>
      <c r="B54" s="407"/>
      <c r="C54" s="407"/>
      <c r="D54" s="357"/>
      <c r="E54" s="357"/>
      <c r="F54" s="357"/>
      <c r="G54" s="118"/>
      <c r="I54" s="243"/>
      <c r="J54" s="243"/>
      <c r="K54" s="243"/>
    </row>
    <row r="55" spans="1:12">
      <c r="A55" s="489" t="s">
        <v>144</v>
      </c>
      <c r="B55" s="490"/>
      <c r="C55" s="490"/>
      <c r="D55" s="404"/>
      <c r="E55" s="404"/>
      <c r="F55" s="385">
        <f>+SUM(F34:F54)</f>
        <v>957.34683333333351</v>
      </c>
      <c r="G55" s="122"/>
      <c r="L55" s="119"/>
    </row>
    <row r="56" spans="1:12" ht="11.25" customHeight="1">
      <c r="A56" s="407"/>
      <c r="B56" s="407"/>
      <c r="C56" s="407"/>
      <c r="D56" s="357"/>
      <c r="E56" s="357"/>
      <c r="F56" s="357"/>
      <c r="G56" s="122"/>
    </row>
    <row r="57" spans="1:12" ht="11.25" customHeight="1" thickBot="1">
      <c r="A57" s="407"/>
      <c r="B57" s="407"/>
      <c r="C57" s="407"/>
      <c r="D57" s="357"/>
      <c r="E57" s="357"/>
      <c r="F57" s="357"/>
    </row>
    <row r="58" spans="1:12" ht="17.25" customHeight="1" thickBot="1">
      <c r="A58" s="852" t="s">
        <v>157</v>
      </c>
      <c r="B58" s="853"/>
      <c r="C58" s="853"/>
      <c r="D58" s="853"/>
      <c r="E58" s="853"/>
      <c r="F58" s="497">
        <f>F55</f>
        <v>957.34683333333351</v>
      </c>
    </row>
    <row r="59" spans="1:12" ht="11.25" customHeight="1">
      <c r="A59" s="407"/>
      <c r="B59" s="407"/>
      <c r="C59" s="407"/>
      <c r="D59" s="357"/>
      <c r="E59" s="357"/>
      <c r="F59" s="357"/>
    </row>
    <row r="60" spans="1:12">
      <c r="A60" s="408" t="s">
        <v>158</v>
      </c>
      <c r="B60" s="407"/>
      <c r="C60" s="407"/>
      <c r="D60" s="357"/>
      <c r="E60" s="357"/>
      <c r="F60" s="357"/>
      <c r="H60" s="196"/>
    </row>
    <row r="61" spans="1:12" ht="11.25" customHeight="1">
      <c r="A61" s="407"/>
      <c r="B61" s="407"/>
      <c r="C61" s="407"/>
      <c r="D61" s="357"/>
      <c r="E61" s="357"/>
      <c r="F61" s="357"/>
      <c r="K61" s="118"/>
      <c r="L61" s="118"/>
    </row>
    <row r="62" spans="1:12">
      <c r="A62" s="422" t="s">
        <v>45</v>
      </c>
      <c r="B62" s="423" t="s">
        <v>46</v>
      </c>
      <c r="C62" s="423" t="s">
        <v>39</v>
      </c>
      <c r="D62" s="424" t="s">
        <v>47</v>
      </c>
      <c r="E62" s="424" t="s">
        <v>48</v>
      </c>
      <c r="F62" s="425" t="s">
        <v>420</v>
      </c>
      <c r="H62" s="196"/>
      <c r="K62" s="118"/>
      <c r="L62" s="118"/>
    </row>
    <row r="63" spans="1:12">
      <c r="A63" s="360" t="s">
        <v>159</v>
      </c>
      <c r="B63" s="426" t="s">
        <v>9</v>
      </c>
      <c r="C63" s="437">
        <f>'4.BDI'!B14*100</f>
        <v>26.36</v>
      </c>
      <c r="D63" s="456">
        <f>+F58</f>
        <v>957.34683333333351</v>
      </c>
      <c r="E63" s="428">
        <f>C63*D63/100</f>
        <v>252.3566252666667</v>
      </c>
      <c r="F63" s="429"/>
      <c r="K63" s="118"/>
      <c r="L63" s="118"/>
    </row>
    <row r="64" spans="1:12">
      <c r="A64" s="849" t="str">
        <f>F62</f>
        <v>Total (R$)</v>
      </c>
      <c r="B64" s="844"/>
      <c r="C64" s="844"/>
      <c r="D64" s="844"/>
      <c r="E64" s="844"/>
      <c r="F64" s="496">
        <f>+E63</f>
        <v>252.3566252666667</v>
      </c>
      <c r="K64" s="118"/>
    </row>
    <row r="65" spans="1:12" ht="11.25" customHeight="1">
      <c r="A65" s="407"/>
      <c r="B65" s="407"/>
      <c r="C65" s="407"/>
      <c r="D65" s="357"/>
      <c r="E65" s="357"/>
      <c r="F65" s="357"/>
      <c r="K65" s="118"/>
    </row>
    <row r="66" spans="1:12">
      <c r="A66" s="852" t="s">
        <v>160</v>
      </c>
      <c r="B66" s="853"/>
      <c r="C66" s="853"/>
      <c r="D66" s="853"/>
      <c r="E66" s="853"/>
      <c r="F66" s="497">
        <f>F64</f>
        <v>252.3566252666667</v>
      </c>
      <c r="K66" s="118"/>
    </row>
    <row r="67" spans="1:12">
      <c r="A67" s="408"/>
      <c r="B67" s="408"/>
      <c r="C67" s="408"/>
      <c r="D67" s="491"/>
      <c r="E67" s="491"/>
      <c r="F67" s="492"/>
      <c r="K67" s="118"/>
    </row>
    <row r="68" spans="1:12" ht="11.25" customHeight="1">
      <c r="A68" s="407"/>
      <c r="B68" s="407"/>
      <c r="C68" s="407"/>
      <c r="D68" s="357"/>
      <c r="E68" s="357"/>
      <c r="F68" s="357"/>
      <c r="K68" s="118"/>
    </row>
    <row r="69" spans="1:12">
      <c r="A69" s="489" t="s">
        <v>161</v>
      </c>
      <c r="B69" s="498"/>
      <c r="C69" s="498"/>
      <c r="D69" s="499"/>
      <c r="E69" s="499"/>
      <c r="F69" s="497">
        <f>+F58+F66</f>
        <v>1209.7034586000002</v>
      </c>
      <c r="G69" s="118"/>
      <c r="H69" s="196"/>
      <c r="I69" s="197"/>
      <c r="J69" s="198"/>
      <c r="K69" s="118"/>
    </row>
    <row r="70" spans="1:12">
      <c r="H70" s="196"/>
      <c r="K70" s="118"/>
    </row>
    <row r="71" spans="1:12" ht="16.149999999999999" hidden="1" customHeight="1">
      <c r="A71" s="258" t="s">
        <v>162</v>
      </c>
      <c r="B71" s="295"/>
      <c r="C71" s="295"/>
      <c r="D71" s="296">
        <v>0</v>
      </c>
      <c r="E71" s="297" t="s">
        <v>163</v>
      </c>
      <c r="H71" s="220"/>
      <c r="K71" s="118"/>
    </row>
    <row r="72" spans="1:12" hidden="1">
      <c r="K72" s="118"/>
    </row>
    <row r="73" spans="1:12" hidden="1">
      <c r="A73" s="258" t="s">
        <v>164</v>
      </c>
      <c r="B73" s="295"/>
      <c r="C73" s="295"/>
      <c r="D73" s="299"/>
      <c r="E73" s="300" t="s">
        <v>165</v>
      </c>
      <c r="F73" s="301" t="str">
        <f>IFERROR(F69/D71,"-")</f>
        <v>-</v>
      </c>
      <c r="K73" s="118"/>
    </row>
    <row r="74" spans="1:12" ht="12.6" customHeight="1">
      <c r="A74" s="184"/>
      <c r="B74" s="184"/>
      <c r="C74" s="184"/>
      <c r="D74" s="183"/>
      <c r="E74" s="183"/>
      <c r="F74" s="183"/>
      <c r="K74" s="118"/>
    </row>
    <row r="75" spans="1:12" s="118" customFormat="1" ht="9.75" customHeight="1">
      <c r="A75" s="138"/>
      <c r="B75" s="121"/>
      <c r="C75" s="121"/>
      <c r="D75" s="121"/>
      <c r="E75" s="121"/>
      <c r="F75" s="121"/>
      <c r="G75" s="121"/>
      <c r="H75" s="122"/>
      <c r="I75" s="122"/>
      <c r="J75" s="122"/>
      <c r="L75" s="122"/>
    </row>
    <row r="76" spans="1:12" s="118" customFormat="1" ht="9.75" customHeight="1">
      <c r="A76" s="138"/>
      <c r="B76" s="121"/>
      <c r="C76" s="121"/>
      <c r="D76" s="121"/>
      <c r="E76" s="121"/>
      <c r="F76" s="121"/>
      <c r="G76" s="121"/>
      <c r="H76" s="122"/>
      <c r="I76" s="122"/>
      <c r="J76" s="122"/>
      <c r="L76" s="122"/>
    </row>
    <row r="77" spans="1:12" s="118" customFormat="1" ht="9.75" customHeight="1">
      <c r="A77" s="138"/>
      <c r="B77" s="121"/>
      <c r="C77" s="121"/>
      <c r="D77" s="121"/>
      <c r="E77" s="121"/>
      <c r="F77" s="121"/>
      <c r="G77" s="121"/>
      <c r="H77" s="196"/>
      <c r="I77" s="122"/>
      <c r="J77" s="122"/>
      <c r="L77" s="122"/>
    </row>
    <row r="79" spans="1:12">
      <c r="H79" s="196"/>
    </row>
    <row r="81" spans="8:11">
      <c r="H81" s="220"/>
    </row>
    <row r="84" spans="8:11">
      <c r="H84" s="119"/>
    </row>
    <row r="89" spans="8:11">
      <c r="K89" s="118"/>
    </row>
    <row r="90" spans="8:11">
      <c r="K90" s="118"/>
    </row>
    <row r="91" spans="8:11">
      <c r="K91" s="118"/>
    </row>
    <row r="92" spans="8:11">
      <c r="K92" s="118"/>
    </row>
    <row r="93" spans="8:11">
      <c r="K93" s="118"/>
    </row>
    <row r="94" spans="8:11">
      <c r="K94" s="118"/>
    </row>
    <row r="95" spans="8:11">
      <c r="K95" s="118"/>
    </row>
    <row r="96" spans="8:11">
      <c r="H96" s="196"/>
      <c r="K96" s="118"/>
    </row>
    <row r="97" spans="4:11">
      <c r="K97" s="118"/>
    </row>
    <row r="107" spans="4:11" ht="9" customHeight="1">
      <c r="D107" s="120"/>
      <c r="E107" s="120"/>
      <c r="F107" s="120"/>
    </row>
  </sheetData>
  <mergeCells count="15">
    <mergeCell ref="A58:E58"/>
    <mergeCell ref="A64:E64"/>
    <mergeCell ref="A66:E66"/>
    <mergeCell ref="A26:F26"/>
    <mergeCell ref="A41:C41"/>
    <mergeCell ref="A52:C52"/>
    <mergeCell ref="A6:F6"/>
    <mergeCell ref="A7:F7"/>
    <mergeCell ref="A8:F8"/>
    <mergeCell ref="A10:F10"/>
    <mergeCell ref="A1:F1"/>
    <mergeCell ref="A2:F2"/>
    <mergeCell ref="A3:F3"/>
    <mergeCell ref="A4:F4"/>
    <mergeCell ref="A5:F5"/>
  </mergeCells>
  <hyperlinks>
    <hyperlink ref="A43" location="AbaRemun" display="3.3.2. Remuneração do Capital" xr:uid="{00000000-0004-0000-0400-000000000000}"/>
    <hyperlink ref="A32" location="AbaDeprec" display="3.3.1. Depreciação" xr:uid="{00000000-0004-0000-0400-000001000000}"/>
  </hyperlinks>
  <pageMargins left="0.90551181102362199" right="0.511811023622047" top="0.74803149606299202" bottom="0.74803149606299202" header="0.31496062992126" footer="0.31496062992126"/>
  <pageSetup paperSize="9" scale="63" fitToHeight="0" orientation="portrait" r:id="rId1"/>
  <headerFooter alignWithMargins="0">
    <oddFooter>&amp;R&amp;P de &amp;N</oddFooter>
  </headerFooter>
  <rowBreaks count="1" manualBreakCount="1">
    <brk id="27" max="5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9F3F-2D58-42D2-82FB-EAC15B4B2BB7}">
  <sheetPr>
    <pageSetUpPr fitToPage="1"/>
  </sheetPr>
  <dimension ref="A1:L225"/>
  <sheetViews>
    <sheetView view="pageBreakPreview" topLeftCell="A199" zoomScale="98" zoomScaleNormal="100" workbookViewId="0">
      <selection activeCell="F174" sqref="F174"/>
    </sheetView>
  </sheetViews>
  <sheetFormatPr defaultColWidth="9.140625" defaultRowHeight="15.75"/>
  <cols>
    <col min="1" max="1" width="63.85546875" style="407" customWidth="1"/>
    <col min="2" max="2" width="19.85546875" style="407" customWidth="1"/>
    <col min="3" max="3" width="14.7109375" style="407" customWidth="1"/>
    <col min="4" max="4" width="16.140625" style="357" customWidth="1"/>
    <col min="5" max="5" width="18.140625" style="357" customWidth="1"/>
    <col min="6" max="6" width="20.85546875" style="357" customWidth="1"/>
    <col min="7" max="7" width="19.42578125" style="357" customWidth="1"/>
    <col min="8" max="8" width="14.28515625" style="122" customWidth="1"/>
    <col min="9" max="9" width="19.140625" style="122" customWidth="1"/>
    <col min="10" max="10" width="13.42578125" style="122" customWidth="1"/>
    <col min="11" max="11" width="16" style="122" customWidth="1"/>
    <col min="12" max="16384" width="9.140625" style="122"/>
  </cols>
  <sheetData>
    <row r="1" spans="1:7" hidden="1">
      <c r="A1" s="793" t="s">
        <v>0</v>
      </c>
      <c r="B1" s="793"/>
      <c r="C1" s="793"/>
      <c r="D1" s="793"/>
      <c r="E1" s="793"/>
      <c r="F1" s="793"/>
    </row>
    <row r="2" spans="1:7" ht="15.6" hidden="1" customHeight="1">
      <c r="A2" s="794" t="s">
        <v>421</v>
      </c>
      <c r="B2" s="794"/>
      <c r="C2" s="794"/>
      <c r="D2" s="794"/>
      <c r="E2" s="794"/>
      <c r="F2" s="794"/>
    </row>
    <row r="3" spans="1:7" ht="15.6" hidden="1" customHeight="1">
      <c r="A3" s="795" t="s">
        <v>422</v>
      </c>
      <c r="B3" s="795"/>
      <c r="C3" s="795"/>
      <c r="D3" s="795"/>
      <c r="E3" s="795"/>
      <c r="F3" s="795"/>
    </row>
    <row r="4" spans="1:7" ht="15.6" customHeight="1">
      <c r="A4" s="796" t="s">
        <v>2</v>
      </c>
      <c r="B4" s="797"/>
      <c r="C4" s="797"/>
      <c r="D4" s="797"/>
      <c r="E4" s="797"/>
      <c r="F4" s="798"/>
    </row>
    <row r="5" spans="1:7" ht="16.5" customHeight="1" thickBot="1">
      <c r="A5" s="799" t="s">
        <v>3</v>
      </c>
      <c r="B5" s="800"/>
      <c r="C5" s="800"/>
      <c r="D5" s="800"/>
      <c r="E5" s="800"/>
      <c r="F5" s="801"/>
    </row>
    <row r="6" spans="1:7">
      <c r="A6" s="854" t="s">
        <v>424</v>
      </c>
      <c r="B6" s="855"/>
      <c r="C6" s="855"/>
      <c r="D6" s="855"/>
      <c r="E6" s="855"/>
      <c r="F6" s="856"/>
    </row>
    <row r="7" spans="1:7" ht="21.75" customHeight="1" thickBot="1">
      <c r="A7" s="858" t="s">
        <v>5</v>
      </c>
      <c r="B7" s="859"/>
      <c r="C7" s="859"/>
      <c r="D7" s="859"/>
      <c r="E7" s="859"/>
      <c r="F7" s="860"/>
    </row>
    <row r="8" spans="1:7" ht="10.9" customHeight="1" thickBot="1">
      <c r="A8" s="382"/>
      <c r="B8" s="383"/>
      <c r="C8" s="383"/>
      <c r="D8" s="384"/>
      <c r="E8" s="384"/>
      <c r="F8" s="384"/>
    </row>
    <row r="9" spans="1:7" ht="15.75" customHeight="1" thickBot="1">
      <c r="A9" s="814" t="s">
        <v>6</v>
      </c>
      <c r="B9" s="815"/>
      <c r="C9" s="815"/>
      <c r="D9" s="815"/>
      <c r="E9" s="815"/>
      <c r="F9" s="816"/>
    </row>
    <row r="10" spans="1:7" ht="15.75" customHeight="1">
      <c r="A10" s="386" t="s">
        <v>7</v>
      </c>
      <c r="B10" s="387"/>
      <c r="C10" s="387"/>
      <c r="D10" s="388"/>
      <c r="E10" s="389" t="s">
        <v>8</v>
      </c>
      <c r="F10" s="390" t="s">
        <v>9</v>
      </c>
    </row>
    <row r="11" spans="1:7" s="117" customFormat="1" ht="15.75" customHeight="1">
      <c r="A11" s="593" t="str">
        <f>A45</f>
        <v>1. Mão-de-obra</v>
      </c>
      <c r="B11" s="594"/>
      <c r="C11" s="594"/>
      <c r="D11" s="594"/>
      <c r="E11" s="595">
        <f>SUM(E12:E16)</f>
        <v>15815.045241717908</v>
      </c>
      <c r="F11" s="596">
        <f>IFERROR(E11/$E$29,0)</f>
        <v>0.49406782234941266</v>
      </c>
      <c r="G11" s="507"/>
    </row>
    <row r="12" spans="1:7" ht="15.75" customHeight="1">
      <c r="A12" s="597" t="str">
        <f>A47</f>
        <v>1.3. Reciclador Turno do Dia</v>
      </c>
      <c r="B12" s="598"/>
      <c r="C12" s="598"/>
      <c r="D12" s="598"/>
      <c r="E12" s="599">
        <f>F57</f>
        <v>8924.5225137376001</v>
      </c>
      <c r="F12" s="600">
        <f>IFERROR(E12/$E$29,0)</f>
        <v>0.27880536138078604</v>
      </c>
    </row>
    <row r="13" spans="1:7" ht="15.75" customHeight="1">
      <c r="A13" s="597" t="str">
        <f>A59</f>
        <v>1.4. Operador Turno do Dia</v>
      </c>
      <c r="B13" s="598"/>
      <c r="C13" s="598"/>
      <c r="D13" s="598"/>
      <c r="E13" s="599">
        <f>F69</f>
        <v>4988.9080202879995</v>
      </c>
      <c r="F13" s="600">
        <f t="shared" ref="F13:F29" si="0">IFERROR(E13/$E$29,0)</f>
        <v>0.1558553190213616</v>
      </c>
    </row>
    <row r="14" spans="1:7" ht="15.75" customHeight="1">
      <c r="A14" s="597" t="str">
        <f>A71</f>
        <v>1.5. Vale Transporte</v>
      </c>
      <c r="B14" s="598"/>
      <c r="C14" s="598"/>
      <c r="D14" s="598"/>
      <c r="E14" s="599">
        <f>F77</f>
        <v>166.41470769230773</v>
      </c>
      <c r="F14" s="600">
        <f t="shared" si="0"/>
        <v>5.1988565938190998E-3</v>
      </c>
    </row>
    <row r="15" spans="1:7" ht="15.75" customHeight="1">
      <c r="A15" s="597" t="str">
        <f>A79</f>
        <v>1.6. Vale-refeição (diário)</v>
      </c>
      <c r="B15" s="598"/>
      <c r="C15" s="598"/>
      <c r="D15" s="598"/>
      <c r="E15" s="599">
        <f>F83</f>
        <v>282</v>
      </c>
      <c r="F15" s="600">
        <f t="shared" si="0"/>
        <v>8.8097835809542065E-3</v>
      </c>
    </row>
    <row r="16" spans="1:7" ht="15.75" customHeight="1">
      <c r="A16" s="597" t="str">
        <f>A85</f>
        <v>1.7. Auxílio Alimentação (mensal)</v>
      </c>
      <c r="B16" s="598"/>
      <c r="C16" s="598"/>
      <c r="D16" s="598"/>
      <c r="E16" s="599">
        <f>F89</f>
        <v>1453.1999999999998</v>
      </c>
      <c r="F16" s="600">
        <f t="shared" si="0"/>
        <v>4.5398501772491669E-2</v>
      </c>
    </row>
    <row r="17" spans="1:7" ht="15.75" customHeight="1">
      <c r="A17" s="874" t="str">
        <f>A93</f>
        <v>2. Uniformes e Equipamentos de Proteção Individual</v>
      </c>
      <c r="B17" s="875"/>
      <c r="C17" s="875"/>
      <c r="D17" s="594"/>
      <c r="E17" s="595">
        <f>F123</f>
        <v>656.36222222222227</v>
      </c>
      <c r="F17" s="596">
        <f t="shared" si="0"/>
        <v>2.0504996909545922E-2</v>
      </c>
    </row>
    <row r="18" spans="1:7" ht="15.75" customHeight="1">
      <c r="A18" s="601" t="str">
        <f>A125</f>
        <v>3. Veículos e Equipamentos</v>
      </c>
      <c r="B18" s="602"/>
      <c r="C18" s="594"/>
      <c r="D18" s="594"/>
      <c r="E18" s="595">
        <f>SUM(F191)</f>
        <v>8726.1649999999991</v>
      </c>
      <c r="F18" s="596">
        <f t="shared" si="0"/>
        <v>0.27260859979325264</v>
      </c>
    </row>
    <row r="19" spans="1:7" ht="15.75" customHeight="1">
      <c r="A19" s="603" t="str">
        <f>A127</f>
        <v>3.3. Retroescavadeira</v>
      </c>
      <c r="B19" s="604"/>
      <c r="C19" s="598"/>
      <c r="D19" s="598"/>
      <c r="E19" s="599">
        <f>SUM(E20:E25)</f>
        <v>8726.1649999999991</v>
      </c>
      <c r="F19" s="600">
        <f t="shared" si="0"/>
        <v>0.27260859979325264</v>
      </c>
    </row>
    <row r="20" spans="1:7" ht="15.75" customHeight="1">
      <c r="A20" s="603" t="str">
        <f>A129</f>
        <v>3.3.1. Depreciação</v>
      </c>
      <c r="B20" s="604"/>
      <c r="C20" s="598"/>
      <c r="D20" s="598"/>
      <c r="E20" s="599">
        <f>SUM(F138)</f>
        <v>2064.0333333333338</v>
      </c>
      <c r="F20" s="600">
        <f t="shared" si="0"/>
        <v>6.4481159470007737E-2</v>
      </c>
    </row>
    <row r="21" spans="1:7" ht="15.75" customHeight="1">
      <c r="A21" s="603" t="str">
        <f>A140</f>
        <v>3.3.2. Remuneração do Capital</v>
      </c>
      <c r="B21" s="604"/>
      <c r="C21" s="598"/>
      <c r="D21" s="598"/>
      <c r="E21" s="599">
        <f>SUM(F149)</f>
        <v>4433.333333333333</v>
      </c>
      <c r="F21" s="600">
        <f t="shared" si="0"/>
        <v>0.13849896173367723</v>
      </c>
    </row>
    <row r="22" spans="1:7" ht="15.75" customHeight="1">
      <c r="A22" s="603" t="str">
        <f>A151</f>
        <v>3.3.3. Impostos e Seguros</v>
      </c>
      <c r="B22" s="604"/>
      <c r="C22" s="598"/>
      <c r="D22" s="598"/>
      <c r="E22" s="599">
        <f>SUM(F155)</f>
        <v>333.33333333333331</v>
      </c>
      <c r="F22" s="600">
        <f t="shared" si="0"/>
        <v>1.0413455769449416E-2</v>
      </c>
    </row>
    <row r="23" spans="1:7" ht="15.75" customHeight="1">
      <c r="A23" s="603" t="str">
        <f>A157</f>
        <v>3.3.4. Consumos</v>
      </c>
      <c r="B23" s="604"/>
      <c r="C23" s="598"/>
      <c r="D23" s="598"/>
      <c r="E23" s="599">
        <f>SUM(F173)</f>
        <v>1299.8150000000001</v>
      </c>
      <c r="F23" s="600">
        <f t="shared" si="0"/>
        <v>4.0606698032900679E-2</v>
      </c>
    </row>
    <row r="24" spans="1:7" s="117" customFormat="1" ht="15.75" customHeight="1">
      <c r="A24" s="603" t="str">
        <f>A175</f>
        <v>3.3.5. Manutenção</v>
      </c>
      <c r="B24" s="604"/>
      <c r="C24" s="598"/>
      <c r="D24" s="598"/>
      <c r="E24" s="599">
        <f>SUM(F178)</f>
        <v>268.39999999999998</v>
      </c>
      <c r="F24" s="600">
        <f t="shared" si="0"/>
        <v>8.3849145855606697E-3</v>
      </c>
      <c r="G24" s="507"/>
    </row>
    <row r="25" spans="1:7" s="117" customFormat="1" ht="15.75" customHeight="1">
      <c r="A25" s="603" t="str">
        <f>A180</f>
        <v>3.3.6. Pneus</v>
      </c>
      <c r="B25" s="604"/>
      <c r="C25" s="598"/>
      <c r="D25" s="598"/>
      <c r="E25" s="599">
        <f>SUM(F189)</f>
        <v>327.25</v>
      </c>
      <c r="F25" s="600">
        <f t="shared" si="0"/>
        <v>1.0223410201656964E-2</v>
      </c>
      <c r="G25" s="507"/>
    </row>
    <row r="26" spans="1:7" s="117" customFormat="1" ht="15.75" customHeight="1">
      <c r="A26" s="601" t="str">
        <f>A193</f>
        <v>4. Ferramentas e Materiais de Consumo</v>
      </c>
      <c r="B26" s="602"/>
      <c r="C26" s="594"/>
      <c r="D26" s="594"/>
      <c r="E26" s="595">
        <f>+F201</f>
        <v>23.505833333333314</v>
      </c>
      <c r="F26" s="600">
        <f t="shared" si="0"/>
        <v>7.3433086722214864E-4</v>
      </c>
      <c r="G26" s="507"/>
    </row>
    <row r="27" spans="1:7" ht="15.75" customHeight="1">
      <c r="A27" s="601" t="str">
        <f>A203</f>
        <v>5. Monitoramento da Frota</v>
      </c>
      <c r="B27" s="602"/>
      <c r="C27" s="594"/>
      <c r="D27" s="594"/>
      <c r="E27" s="595">
        <f>+F212</f>
        <v>111.2000484772625</v>
      </c>
      <c r="F27" s="600">
        <f t="shared" si="0"/>
        <v>3.4739303591358119E-3</v>
      </c>
    </row>
    <row r="28" spans="1:7" ht="16.5" thickBot="1">
      <c r="A28" s="738" t="str">
        <f>A216</f>
        <v>6. Benefícios e Despesas Indiretas - BDI</v>
      </c>
      <c r="B28" s="739"/>
      <c r="C28" s="740"/>
      <c r="D28" s="740"/>
      <c r="E28" s="741">
        <f>+F222</f>
        <v>6677.5885719398912</v>
      </c>
      <c r="F28" s="742">
        <f t="shared" si="0"/>
        <v>0.20861031972143085</v>
      </c>
    </row>
    <row r="29" spans="1:7" ht="16.5" thickBot="1">
      <c r="A29" s="743" t="s">
        <v>425</v>
      </c>
      <c r="B29" s="744"/>
      <c r="C29" s="744"/>
      <c r="D29" s="744"/>
      <c r="E29" s="745">
        <f>SUM(E11+E17+E18+E26+E27+E28)</f>
        <v>32009.866917690615</v>
      </c>
      <c r="F29" s="746">
        <f t="shared" si="0"/>
        <v>1</v>
      </c>
    </row>
    <row r="30" spans="1:7" ht="15" customHeight="1">
      <c r="A30" s="605"/>
      <c r="B30" s="605"/>
      <c r="C30" s="605"/>
      <c r="D30" s="606"/>
      <c r="E30" s="606"/>
      <c r="F30" s="606"/>
    </row>
    <row r="31" spans="1:7" ht="15" customHeight="1" thickBot="1">
      <c r="A31" s="605"/>
      <c r="B31" s="605"/>
      <c r="C31" s="605"/>
      <c r="D31" s="606"/>
      <c r="E31" s="606"/>
      <c r="F31" s="606"/>
    </row>
    <row r="32" spans="1:7" ht="15" customHeight="1" thickBot="1">
      <c r="A32" s="876" t="s">
        <v>37</v>
      </c>
      <c r="B32" s="877"/>
      <c r="C32" s="877"/>
      <c r="D32" s="877"/>
      <c r="E32" s="878"/>
      <c r="F32" s="606"/>
    </row>
    <row r="33" spans="1:11" ht="15" customHeight="1" thickBot="1">
      <c r="A33" s="879" t="s">
        <v>38</v>
      </c>
      <c r="B33" s="877"/>
      <c r="C33" s="877"/>
      <c r="D33" s="880"/>
      <c r="E33" s="607" t="s">
        <v>39</v>
      </c>
      <c r="F33" s="606"/>
    </row>
    <row r="34" spans="1:11">
      <c r="A34" s="608" t="s">
        <v>202</v>
      </c>
      <c r="B34" s="609"/>
      <c r="C34" s="609"/>
      <c r="D34" s="610"/>
      <c r="E34" s="611">
        <v>2</v>
      </c>
      <c r="F34" s="606"/>
    </row>
    <row r="35" spans="1:11" s="117" customFormat="1" ht="15.75" customHeight="1">
      <c r="A35" s="597" t="str">
        <f>+A59</f>
        <v>1.4. Operador Turno do Dia</v>
      </c>
      <c r="B35" s="598"/>
      <c r="C35" s="598"/>
      <c r="D35" s="612"/>
      <c r="E35" s="613">
        <v>1</v>
      </c>
      <c r="F35" s="606"/>
      <c r="G35" s="507"/>
    </row>
    <row r="36" spans="1:11" ht="15.75" customHeight="1" thickBot="1">
      <c r="A36" s="614" t="s">
        <v>40</v>
      </c>
      <c r="B36" s="615"/>
      <c r="C36" s="615"/>
      <c r="D36" s="616"/>
      <c r="E36" s="617">
        <f>SUM(E34:E35)</f>
        <v>3</v>
      </c>
      <c r="F36" s="606"/>
    </row>
    <row r="37" spans="1:11" ht="11.25" customHeight="1" thickBot="1">
      <c r="A37" s="618"/>
      <c r="B37" s="619"/>
      <c r="C37" s="606"/>
      <c r="D37" s="606"/>
      <c r="E37" s="620"/>
      <c r="F37" s="606"/>
      <c r="I37" s="197"/>
      <c r="J37" s="198"/>
      <c r="K37" s="198"/>
    </row>
    <row r="38" spans="1:11">
      <c r="A38" s="881" t="s">
        <v>41</v>
      </c>
      <c r="B38" s="882"/>
      <c r="C38" s="882"/>
      <c r="D38" s="883"/>
      <c r="E38" s="607" t="s">
        <v>39</v>
      </c>
      <c r="F38" s="605"/>
      <c r="I38" s="197"/>
      <c r="J38" s="198"/>
      <c r="K38" s="198"/>
    </row>
    <row r="39" spans="1:11" ht="11.25" customHeight="1">
      <c r="A39" s="621" t="s">
        <v>197</v>
      </c>
      <c r="B39" s="622"/>
      <c r="C39" s="622"/>
      <c r="D39" s="623"/>
      <c r="E39" s="624">
        <v>1</v>
      </c>
      <c r="F39" s="605"/>
      <c r="I39" s="197"/>
      <c r="J39" s="198"/>
      <c r="K39" s="198"/>
    </row>
    <row r="40" spans="1:11" ht="16.5" thickBot="1">
      <c r="A40" s="625" t="s">
        <v>198</v>
      </c>
      <c r="B40" s="626"/>
      <c r="C40" s="626"/>
      <c r="D40" s="627"/>
      <c r="E40" s="628">
        <v>1</v>
      </c>
      <c r="F40" s="605"/>
    </row>
    <row r="41" spans="1:11" ht="11.25" customHeight="1">
      <c r="A41" s="606"/>
      <c r="B41" s="606"/>
      <c r="C41" s="606"/>
      <c r="D41" s="605"/>
      <c r="E41" s="629"/>
      <c r="F41" s="605"/>
      <c r="H41" s="196"/>
    </row>
    <row r="42" spans="1:11" ht="16.5" thickBot="1">
      <c r="A42" s="606"/>
      <c r="B42" s="606"/>
      <c r="C42" s="606"/>
      <c r="D42" s="605"/>
      <c r="E42" s="630"/>
      <c r="F42" s="605"/>
      <c r="H42" s="196"/>
    </row>
    <row r="43" spans="1:11" ht="16.5" thickBot="1">
      <c r="A43" s="631" t="s">
        <v>199</v>
      </c>
      <c r="B43" s="632">
        <v>1</v>
      </c>
      <c r="C43" s="633"/>
      <c r="D43" s="634"/>
      <c r="E43" s="635"/>
      <c r="F43" s="634"/>
      <c r="H43" s="196"/>
    </row>
    <row r="44" spans="1:11">
      <c r="A44" s="606"/>
      <c r="B44" s="606"/>
      <c r="C44" s="606"/>
      <c r="D44" s="605"/>
      <c r="E44" s="630"/>
      <c r="F44" s="605"/>
      <c r="H44" s="196"/>
      <c r="I44" s="197"/>
      <c r="J44" s="198"/>
      <c r="K44" s="198"/>
    </row>
    <row r="45" spans="1:11">
      <c r="A45" s="634" t="s">
        <v>43</v>
      </c>
      <c r="B45" s="605"/>
      <c r="C45" s="605"/>
      <c r="D45" s="606"/>
      <c r="E45" s="606"/>
      <c r="F45" s="606"/>
      <c r="G45" s="407"/>
      <c r="H45" s="196"/>
    </row>
    <row r="46" spans="1:11">
      <c r="A46" s="605"/>
      <c r="B46" s="605"/>
      <c r="C46" s="605"/>
      <c r="D46" s="606"/>
      <c r="E46" s="606"/>
      <c r="F46" s="606"/>
      <c r="H46" s="196"/>
      <c r="I46" s="243"/>
      <c r="J46" s="243"/>
      <c r="K46" s="243"/>
    </row>
    <row r="47" spans="1:11" ht="16.5" thickBot="1">
      <c r="A47" s="634" t="s">
        <v>202</v>
      </c>
      <c r="B47" s="634"/>
      <c r="C47" s="634"/>
      <c r="D47" s="633"/>
      <c r="E47" s="633"/>
      <c r="F47" s="633"/>
      <c r="H47" s="196"/>
    </row>
    <row r="48" spans="1:11" ht="16.5" thickBot="1">
      <c r="A48" s="636" t="s">
        <v>45</v>
      </c>
      <c r="B48" s="637" t="s">
        <v>46</v>
      </c>
      <c r="C48" s="637" t="s">
        <v>39</v>
      </c>
      <c r="D48" s="638" t="s">
        <v>47</v>
      </c>
      <c r="E48" s="638" t="s">
        <v>48</v>
      </c>
      <c r="F48" s="639" t="s">
        <v>428</v>
      </c>
      <c r="H48" s="196"/>
    </row>
    <row r="49" spans="1:11">
      <c r="A49" s="360" t="s">
        <v>200</v>
      </c>
      <c r="B49" s="426" t="s">
        <v>50</v>
      </c>
      <c r="C49" s="426">
        <v>1</v>
      </c>
      <c r="D49" s="427">
        <v>1967.29</v>
      </c>
      <c r="E49" s="456">
        <f>C49*D49</f>
        <v>1967.29</v>
      </c>
      <c r="F49" s="519"/>
      <c r="G49" s="564"/>
      <c r="H49" s="196"/>
      <c r="I49" s="197"/>
      <c r="J49" s="198"/>
      <c r="K49" s="198"/>
    </row>
    <row r="50" spans="1:11">
      <c r="A50" s="360" t="s">
        <v>201</v>
      </c>
      <c r="B50" s="426" t="s">
        <v>50</v>
      </c>
      <c r="C50" s="426">
        <v>1</v>
      </c>
      <c r="D50" s="427">
        <v>1621</v>
      </c>
      <c r="E50" s="456"/>
      <c r="F50" s="519"/>
      <c r="H50" s="196"/>
      <c r="I50" s="197"/>
      <c r="J50" s="198"/>
      <c r="K50" s="198"/>
    </row>
    <row r="51" spans="1:11">
      <c r="A51" s="380" t="s">
        <v>60</v>
      </c>
      <c r="B51" s="430"/>
      <c r="C51" s="520">
        <v>1</v>
      </c>
      <c r="D51" s="435"/>
      <c r="E51" s="435"/>
      <c r="F51" s="519"/>
      <c r="H51" s="196"/>
      <c r="I51" s="197"/>
      <c r="J51" s="198"/>
      <c r="K51" s="198"/>
    </row>
    <row r="52" spans="1:11">
      <c r="A52" s="380" t="s">
        <v>52</v>
      </c>
      <c r="B52" s="430" t="s">
        <v>9</v>
      </c>
      <c r="C52" s="430">
        <v>40</v>
      </c>
      <c r="D52" s="432">
        <f>IF(C51=2,SUM(E49:E50),IF(C51=1,(SUM(E49:E50))*D50/D49,0))</f>
        <v>1621</v>
      </c>
      <c r="E52" s="435">
        <f>C52*D52/100</f>
        <v>648.4</v>
      </c>
      <c r="F52" s="519"/>
      <c r="I52" s="197"/>
      <c r="J52" s="198"/>
      <c r="K52" s="198"/>
    </row>
    <row r="53" spans="1:11">
      <c r="A53" s="829" t="s">
        <v>53</v>
      </c>
      <c r="B53" s="830"/>
      <c r="C53" s="830"/>
      <c r="D53" s="831"/>
      <c r="E53" s="521">
        <f>SUM(E49:E52)</f>
        <v>2615.69</v>
      </c>
      <c r="F53" s="519"/>
      <c r="G53" s="407"/>
    </row>
    <row r="54" spans="1:11">
      <c r="A54" s="380" t="s">
        <v>54</v>
      </c>
      <c r="B54" s="430" t="s">
        <v>9</v>
      </c>
      <c r="C54" s="437">
        <f>'2.Encargos Sociais'!$C$35*100</f>
        <v>70.595951999999997</v>
      </c>
      <c r="D54" s="435">
        <f>E53</f>
        <v>2615.69</v>
      </c>
      <c r="E54" s="435">
        <f>D54*C54/100</f>
        <v>1846.5712568688</v>
      </c>
      <c r="F54" s="519"/>
      <c r="G54" s="407"/>
    </row>
    <row r="55" spans="1:11">
      <c r="A55" s="829" t="s">
        <v>426</v>
      </c>
      <c r="B55" s="832"/>
      <c r="C55" s="832"/>
      <c r="D55" s="833"/>
      <c r="E55" s="521">
        <f>E53+E54</f>
        <v>4462.2612568688</v>
      </c>
      <c r="F55" s="519"/>
      <c r="G55" s="407"/>
    </row>
    <row r="56" spans="1:11">
      <c r="A56" s="522" t="s">
        <v>56</v>
      </c>
      <c r="B56" s="523" t="s">
        <v>57</v>
      </c>
      <c r="C56" s="524">
        <v>2</v>
      </c>
      <c r="D56" s="435">
        <f>E55</f>
        <v>4462.2612568688</v>
      </c>
      <c r="E56" s="435">
        <f>C56*D56</f>
        <v>8924.5225137376001</v>
      </c>
      <c r="F56" s="519"/>
      <c r="G56" s="407"/>
    </row>
    <row r="57" spans="1:11" ht="11.25" customHeight="1" thickBot="1">
      <c r="A57" s="834" t="s">
        <v>420</v>
      </c>
      <c r="B57" s="835"/>
      <c r="C57" s="836"/>
      <c r="D57" s="525" t="s">
        <v>58</v>
      </c>
      <c r="E57" s="458">
        <f>$B$43</f>
        <v>1</v>
      </c>
      <c r="F57" s="451">
        <f>E56*E57</f>
        <v>8924.5225137376001</v>
      </c>
      <c r="G57" s="407"/>
    </row>
    <row r="58" spans="1:11">
      <c r="A58" s="605"/>
      <c r="B58" s="605"/>
      <c r="C58" s="605"/>
      <c r="D58" s="606"/>
      <c r="E58" s="606"/>
      <c r="F58" s="606"/>
      <c r="G58" s="407"/>
      <c r="H58" s="196"/>
    </row>
    <row r="59" spans="1:11" ht="16.5" thickBot="1">
      <c r="A59" s="640" t="s">
        <v>203</v>
      </c>
      <c r="B59" s="640"/>
      <c r="C59" s="640"/>
      <c r="D59" s="641"/>
      <c r="E59" s="641"/>
      <c r="F59" s="641"/>
      <c r="H59" s="196"/>
      <c r="I59" s="197"/>
      <c r="J59" s="198"/>
      <c r="K59" s="198"/>
    </row>
    <row r="60" spans="1:11" ht="16.5" thickBot="1">
      <c r="A60" s="636" t="s">
        <v>45</v>
      </c>
      <c r="B60" s="637" t="s">
        <v>46</v>
      </c>
      <c r="C60" s="637" t="s">
        <v>39</v>
      </c>
      <c r="D60" s="638" t="s">
        <v>47</v>
      </c>
      <c r="E60" s="638" t="s">
        <v>48</v>
      </c>
      <c r="F60" s="639" t="s">
        <v>428</v>
      </c>
      <c r="G60" s="407"/>
      <c r="H60" s="196"/>
    </row>
    <row r="61" spans="1:11">
      <c r="A61" s="360" t="s">
        <v>200</v>
      </c>
      <c r="B61" s="426" t="s">
        <v>50</v>
      </c>
      <c r="C61" s="426">
        <v>1</v>
      </c>
      <c r="D61" s="427">
        <v>2276</v>
      </c>
      <c r="E61" s="456">
        <f>C61*D61</f>
        <v>2276</v>
      </c>
      <c r="F61" s="519"/>
      <c r="G61" s="564"/>
      <c r="H61" s="196"/>
      <c r="I61" s="243"/>
      <c r="J61" s="243"/>
      <c r="K61" s="243"/>
    </row>
    <row r="62" spans="1:11">
      <c r="A62" s="360" t="s">
        <v>201</v>
      </c>
      <c r="B62" s="426" t="s">
        <v>50</v>
      </c>
      <c r="C62" s="426">
        <v>1</v>
      </c>
      <c r="D62" s="427">
        <v>1621</v>
      </c>
      <c r="E62" s="456"/>
      <c r="F62" s="519"/>
      <c r="H62" s="196"/>
    </row>
    <row r="63" spans="1:11">
      <c r="A63" s="380" t="s">
        <v>60</v>
      </c>
      <c r="B63" s="430"/>
      <c r="C63" s="520">
        <v>1</v>
      </c>
      <c r="D63" s="435"/>
      <c r="E63" s="435"/>
      <c r="F63" s="519"/>
      <c r="H63" s="196"/>
    </row>
    <row r="64" spans="1:11">
      <c r="A64" s="380" t="s">
        <v>52</v>
      </c>
      <c r="B64" s="430" t="s">
        <v>9</v>
      </c>
      <c r="C64" s="431">
        <v>40</v>
      </c>
      <c r="D64" s="432">
        <f>IF(C63=2,SUM(E61:E62),IF(C63=1,(SUM(E61:E62))*D62/D61,0))</f>
        <v>1621</v>
      </c>
      <c r="E64" s="435">
        <f>C64*D64/100</f>
        <v>648.4</v>
      </c>
      <c r="F64" s="519"/>
      <c r="H64" s="196"/>
      <c r="I64" s="197"/>
      <c r="J64" s="198"/>
      <c r="K64" s="198"/>
    </row>
    <row r="65" spans="1:11">
      <c r="A65" s="829" t="s">
        <v>53</v>
      </c>
      <c r="B65" s="830"/>
      <c r="C65" s="830"/>
      <c r="D65" s="831"/>
      <c r="E65" s="440">
        <f>SUM(E61:E64)</f>
        <v>2924.4</v>
      </c>
      <c r="F65" s="526"/>
      <c r="I65" s="243"/>
      <c r="J65" s="243"/>
      <c r="K65" s="243"/>
    </row>
    <row r="66" spans="1:11">
      <c r="A66" s="380" t="s">
        <v>54</v>
      </c>
      <c r="B66" s="430" t="s">
        <v>9</v>
      </c>
      <c r="C66" s="437">
        <f>'2.Encargos Sociais'!$C$35*100</f>
        <v>70.595951999999997</v>
      </c>
      <c r="D66" s="435">
        <f>E65</f>
        <v>2924.4</v>
      </c>
      <c r="E66" s="435">
        <f>D66*C66/100</f>
        <v>2064.5080202879999</v>
      </c>
      <c r="F66" s="519"/>
    </row>
    <row r="67" spans="1:11">
      <c r="A67" s="829" t="s">
        <v>427</v>
      </c>
      <c r="B67" s="830"/>
      <c r="C67" s="830"/>
      <c r="D67" s="831"/>
      <c r="E67" s="440">
        <f>E65+E66</f>
        <v>4988.9080202879995</v>
      </c>
      <c r="F67" s="526"/>
    </row>
    <row r="68" spans="1:11">
      <c r="A68" s="380" t="s">
        <v>56</v>
      </c>
      <c r="B68" s="430" t="s">
        <v>57</v>
      </c>
      <c r="C68" s="431">
        <v>1</v>
      </c>
      <c r="D68" s="435">
        <f>E67</f>
        <v>4988.9080202879995</v>
      </c>
      <c r="E68" s="435">
        <f>C68*D68</f>
        <v>4988.9080202879995</v>
      </c>
      <c r="F68" s="519"/>
      <c r="G68" s="564"/>
      <c r="I68" s="197"/>
      <c r="J68" s="198"/>
      <c r="K68" s="198"/>
    </row>
    <row r="69" spans="1:11" ht="16.5" thickBot="1">
      <c r="A69" s="834" t="s">
        <v>420</v>
      </c>
      <c r="B69" s="835"/>
      <c r="C69" s="836"/>
      <c r="D69" s="449" t="s">
        <v>58</v>
      </c>
      <c r="E69" s="458">
        <f>$B$43</f>
        <v>1</v>
      </c>
      <c r="F69" s="451">
        <f>E68*E69</f>
        <v>4988.9080202879995</v>
      </c>
    </row>
    <row r="70" spans="1:11">
      <c r="A70" s="605"/>
      <c r="B70" s="605"/>
      <c r="C70" s="605"/>
      <c r="D70" s="606"/>
      <c r="E70" s="606"/>
      <c r="F70" s="606"/>
    </row>
    <row r="71" spans="1:11" ht="16.5" thickBot="1">
      <c r="A71" s="828" t="s">
        <v>62</v>
      </c>
      <c r="B71" s="828"/>
      <c r="C71" s="828"/>
      <c r="D71" s="828"/>
      <c r="E71" s="828"/>
      <c r="F71" s="828"/>
    </row>
    <row r="72" spans="1:11" ht="16.5" thickBot="1">
      <c r="A72" s="422" t="s">
        <v>45</v>
      </c>
      <c r="B72" s="423" t="s">
        <v>46</v>
      </c>
      <c r="C72" s="423" t="s">
        <v>39</v>
      </c>
      <c r="D72" s="424" t="s">
        <v>47</v>
      </c>
      <c r="E72" s="424" t="s">
        <v>48</v>
      </c>
      <c r="F72" s="425" t="s">
        <v>420</v>
      </c>
      <c r="G72" s="578"/>
      <c r="H72" s="196"/>
      <c r="I72" s="197"/>
      <c r="J72" s="198"/>
      <c r="K72" s="198"/>
    </row>
    <row r="73" spans="1:11">
      <c r="A73" s="380" t="s">
        <v>63</v>
      </c>
      <c r="B73" s="430" t="s">
        <v>51</v>
      </c>
      <c r="C73" s="485">
        <v>1</v>
      </c>
      <c r="D73" s="527">
        <v>4.7</v>
      </c>
      <c r="E73" s="433"/>
      <c r="F73" s="429"/>
      <c r="G73" s="575"/>
      <c r="H73" s="196"/>
      <c r="I73" s="197"/>
      <c r="J73" s="198"/>
      <c r="K73" s="198"/>
    </row>
    <row r="74" spans="1:11">
      <c r="A74" s="380" t="s">
        <v>64</v>
      </c>
      <c r="B74" s="430" t="s">
        <v>65</v>
      </c>
      <c r="C74" s="528">
        <v>12</v>
      </c>
      <c r="D74" s="435"/>
      <c r="E74" s="433"/>
      <c r="F74" s="434"/>
      <c r="H74" s="196"/>
      <c r="I74" s="197"/>
      <c r="J74" s="198"/>
      <c r="K74" s="198"/>
    </row>
    <row r="75" spans="1:11">
      <c r="A75" s="642" t="s">
        <v>204</v>
      </c>
      <c r="B75" s="643" t="s">
        <v>67</v>
      </c>
      <c r="C75" s="644">
        <f>$C$74*2*(C56)</f>
        <v>48</v>
      </c>
      <c r="D75" s="565">
        <f>IFERROR((($C$74*2*$D$73)-(E49*0.06*C74/26))/($C$74*2),"-")</f>
        <v>2.4300500000000009</v>
      </c>
      <c r="E75" s="645">
        <f>IFERROR(C75*D75,"-")</f>
        <v>116.64240000000004</v>
      </c>
      <c r="F75" s="434"/>
      <c r="I75" s="243"/>
      <c r="J75" s="243"/>
      <c r="K75" s="243"/>
    </row>
    <row r="76" spans="1:11">
      <c r="A76" s="646" t="s">
        <v>418</v>
      </c>
      <c r="B76" s="647" t="s">
        <v>67</v>
      </c>
      <c r="C76" s="644">
        <f>$C$74*2*(C68)</f>
        <v>24</v>
      </c>
      <c r="D76" s="565">
        <f>IFERROR((($C$74*2*$D$73)-(E61*0.06*C74/26))/($C$74*2),"-")</f>
        <v>2.0738461538461546</v>
      </c>
      <c r="E76" s="565">
        <f>IFERROR(C76*D76,"-")</f>
        <v>49.772307692307706</v>
      </c>
      <c r="F76" s="434"/>
      <c r="I76" s="243"/>
      <c r="J76" s="243"/>
      <c r="K76" s="243"/>
    </row>
    <row r="77" spans="1:11" ht="11.25" customHeight="1" thickBot="1">
      <c r="A77" s="834" t="s">
        <v>420</v>
      </c>
      <c r="B77" s="835"/>
      <c r="C77" s="835"/>
      <c r="D77" s="835"/>
      <c r="E77" s="836"/>
      <c r="F77" s="530">
        <f>SUM(E75:E76)</f>
        <v>166.41470769230773</v>
      </c>
      <c r="H77" s="196"/>
      <c r="I77" s="243"/>
      <c r="J77" s="243"/>
      <c r="K77" s="243"/>
    </row>
    <row r="78" spans="1:11">
      <c r="A78" s="648"/>
      <c r="B78" s="648"/>
      <c r="C78" s="648"/>
      <c r="D78" s="649"/>
      <c r="E78" s="649"/>
      <c r="F78" s="649"/>
      <c r="I78" s="243"/>
      <c r="J78" s="243"/>
      <c r="K78" s="243"/>
    </row>
    <row r="79" spans="1:11" ht="16.5" thickBot="1">
      <c r="A79" s="828" t="s">
        <v>69</v>
      </c>
      <c r="B79" s="828"/>
      <c r="C79" s="828"/>
      <c r="D79" s="828"/>
      <c r="E79" s="828"/>
      <c r="F79" s="828"/>
      <c r="I79" s="243"/>
      <c r="J79" s="243"/>
      <c r="K79" s="243"/>
    </row>
    <row r="80" spans="1:11" ht="16.5" thickBot="1">
      <c r="A80" s="422" t="s">
        <v>45</v>
      </c>
      <c r="B80" s="423" t="s">
        <v>46</v>
      </c>
      <c r="C80" s="423" t="s">
        <v>39</v>
      </c>
      <c r="D80" s="424" t="s">
        <v>47</v>
      </c>
      <c r="E80" s="424" t="s">
        <v>48</v>
      </c>
      <c r="F80" s="425" t="s">
        <v>420</v>
      </c>
      <c r="I80" s="243"/>
      <c r="J80" s="243"/>
      <c r="K80" s="243"/>
    </row>
    <row r="81" spans="1:11">
      <c r="A81" s="642" t="str">
        <f>+A75</f>
        <v>Reciclador</v>
      </c>
      <c r="B81" s="430" t="s">
        <v>70</v>
      </c>
      <c r="C81" s="531">
        <f>C74*(E34)</f>
        <v>24</v>
      </c>
      <c r="D81" s="441">
        <v>0</v>
      </c>
      <c r="E81" s="532">
        <f>C81*D81</f>
        <v>0</v>
      </c>
      <c r="F81" s="533"/>
      <c r="I81" s="243"/>
      <c r="J81" s="243"/>
      <c r="K81" s="243"/>
    </row>
    <row r="82" spans="1:11">
      <c r="A82" s="642" t="str">
        <f>+A76</f>
        <v>Operador</v>
      </c>
      <c r="B82" s="430" t="s">
        <v>70</v>
      </c>
      <c r="C82" s="531">
        <f>C74*(E35)</f>
        <v>12</v>
      </c>
      <c r="D82" s="441">
        <v>23.5</v>
      </c>
      <c r="E82" s="532">
        <f>C82*D82</f>
        <v>282</v>
      </c>
      <c r="F82" s="534"/>
      <c r="I82" s="243"/>
      <c r="J82" s="243"/>
      <c r="K82" s="243"/>
    </row>
    <row r="83" spans="1:11" ht="16.5" thickBot="1">
      <c r="A83" s="834" t="s">
        <v>420</v>
      </c>
      <c r="B83" s="835"/>
      <c r="C83" s="835"/>
      <c r="D83" s="835"/>
      <c r="E83" s="836"/>
      <c r="F83" s="530">
        <f>SUM(E81:E82)</f>
        <v>282</v>
      </c>
      <c r="G83" s="650"/>
      <c r="I83" s="197"/>
      <c r="J83" s="198"/>
      <c r="K83" s="198"/>
    </row>
    <row r="84" spans="1:11">
      <c r="A84" s="648"/>
      <c r="B84" s="648"/>
      <c r="C84" s="648"/>
      <c r="D84" s="649"/>
      <c r="E84" s="649"/>
      <c r="F84" s="649"/>
      <c r="G84" s="569"/>
      <c r="I84" s="243"/>
      <c r="J84" s="243"/>
      <c r="K84" s="243"/>
    </row>
    <row r="85" spans="1:11" ht="16.5" thickBot="1">
      <c r="A85" s="828" t="s">
        <v>71</v>
      </c>
      <c r="B85" s="828"/>
      <c r="C85" s="828"/>
      <c r="D85" s="828"/>
      <c r="E85" s="828"/>
      <c r="F85" s="828"/>
      <c r="H85" s="196"/>
      <c r="I85" s="197"/>
      <c r="J85" s="198"/>
      <c r="K85" s="198"/>
    </row>
    <row r="86" spans="1:11" ht="16.5" thickBot="1">
      <c r="A86" s="422" t="s">
        <v>45</v>
      </c>
      <c r="B86" s="423" t="s">
        <v>46</v>
      </c>
      <c r="C86" s="423" t="s">
        <v>39</v>
      </c>
      <c r="D86" s="424" t="s">
        <v>47</v>
      </c>
      <c r="E86" s="424" t="s">
        <v>48</v>
      </c>
      <c r="F86" s="425" t="s">
        <v>420</v>
      </c>
      <c r="G86" s="570"/>
      <c r="I86" s="243"/>
      <c r="J86" s="243"/>
      <c r="K86" s="243"/>
    </row>
    <row r="87" spans="1:11">
      <c r="A87" s="642" t="str">
        <f>+A81</f>
        <v>Reciclador</v>
      </c>
      <c r="B87" s="643" t="s">
        <v>70</v>
      </c>
      <c r="C87" s="644">
        <f>E34</f>
        <v>2</v>
      </c>
      <c r="D87" s="441">
        <f>24*27.15</f>
        <v>651.59999999999991</v>
      </c>
      <c r="E87" s="532">
        <f>C87*D87</f>
        <v>1303.1999999999998</v>
      </c>
      <c r="F87" s="533"/>
      <c r="H87" s="196"/>
      <c r="I87" s="197"/>
      <c r="J87" s="198"/>
      <c r="K87" s="198"/>
    </row>
    <row r="88" spans="1:11">
      <c r="A88" s="642" t="str">
        <f>+A82</f>
        <v>Operador</v>
      </c>
      <c r="B88" s="643" t="s">
        <v>70</v>
      </c>
      <c r="C88" s="644">
        <v>1</v>
      </c>
      <c r="D88" s="441">
        <v>150</v>
      </c>
      <c r="E88" s="532">
        <f>C88*D88</f>
        <v>150</v>
      </c>
      <c r="F88" s="534"/>
      <c r="G88" s="570"/>
      <c r="H88" s="196"/>
      <c r="I88" s="243"/>
      <c r="J88" s="243"/>
      <c r="K88" s="243"/>
    </row>
    <row r="89" spans="1:11" ht="16.5" thickBot="1">
      <c r="A89" s="839" t="s">
        <v>420</v>
      </c>
      <c r="B89" s="837"/>
      <c r="C89" s="838"/>
      <c r="D89" s="449" t="s">
        <v>58</v>
      </c>
      <c r="E89" s="450">
        <f>$B$43</f>
        <v>1</v>
      </c>
      <c r="F89" s="530">
        <f>SUM(E87:E88)*E89</f>
        <v>1453.1999999999998</v>
      </c>
      <c r="H89" s="196"/>
      <c r="I89" s="197"/>
      <c r="J89" s="198"/>
      <c r="K89" s="198"/>
    </row>
    <row r="90" spans="1:11" ht="16.5" thickBot="1">
      <c r="A90" s="648"/>
      <c r="B90" s="648"/>
      <c r="C90" s="648"/>
      <c r="D90" s="649"/>
      <c r="E90" s="649"/>
      <c r="F90" s="649"/>
      <c r="G90" s="570"/>
      <c r="I90" s="243"/>
      <c r="J90" s="243"/>
      <c r="K90" s="243"/>
    </row>
    <row r="91" spans="1:11" ht="16.5" thickBot="1">
      <c r="A91" s="489" t="s">
        <v>72</v>
      </c>
      <c r="B91" s="490"/>
      <c r="C91" s="490"/>
      <c r="D91" s="404"/>
      <c r="E91" s="404"/>
      <c r="F91" s="535">
        <f>F89+F83+F77+F69+F57</f>
        <v>15815.045241717908</v>
      </c>
      <c r="H91" s="196"/>
      <c r="I91" s="197"/>
      <c r="J91" s="198"/>
      <c r="K91" s="198"/>
    </row>
    <row r="92" spans="1:11">
      <c r="A92" s="605"/>
      <c r="B92" s="605"/>
      <c r="C92" s="605"/>
      <c r="D92" s="606"/>
      <c r="E92" s="606"/>
      <c r="F92" s="606"/>
      <c r="G92" s="358"/>
      <c r="I92" s="243"/>
      <c r="J92" s="243"/>
      <c r="K92" s="243"/>
    </row>
    <row r="93" spans="1:11">
      <c r="A93" s="634" t="s">
        <v>73</v>
      </c>
      <c r="B93" s="605"/>
      <c r="C93" s="605"/>
      <c r="D93" s="606"/>
      <c r="E93" s="606"/>
      <c r="F93" s="606"/>
      <c r="G93" s="358"/>
      <c r="H93" s="196"/>
      <c r="I93" s="243"/>
      <c r="J93" s="243"/>
      <c r="K93" s="243"/>
    </row>
    <row r="94" spans="1:11">
      <c r="A94" s="605"/>
      <c r="B94" s="605"/>
      <c r="C94" s="605"/>
      <c r="D94" s="606"/>
      <c r="E94" s="606"/>
      <c r="F94" s="606"/>
      <c r="I94" s="243"/>
      <c r="J94" s="243"/>
      <c r="K94" s="243"/>
    </row>
    <row r="95" spans="1:11" ht="11.25" customHeight="1">
      <c r="A95" s="634" t="s">
        <v>429</v>
      </c>
      <c r="B95" s="605"/>
      <c r="C95" s="605"/>
      <c r="D95" s="606"/>
      <c r="E95" s="606"/>
      <c r="F95" s="606"/>
      <c r="I95" s="243"/>
      <c r="J95" s="243"/>
      <c r="K95" s="243"/>
    </row>
    <row r="96" spans="1:11" ht="16.5" thickBot="1">
      <c r="A96" s="605"/>
      <c r="B96" s="605"/>
      <c r="C96" s="605"/>
      <c r="D96" s="606"/>
      <c r="E96" s="606"/>
      <c r="F96" s="606"/>
      <c r="I96" s="243"/>
      <c r="J96" s="243"/>
      <c r="K96" s="243"/>
    </row>
    <row r="97" spans="1:12" ht="30.75" thickBot="1">
      <c r="A97" s="636" t="s">
        <v>45</v>
      </c>
      <c r="B97" s="637" t="s">
        <v>46</v>
      </c>
      <c r="C97" s="651" t="s">
        <v>75</v>
      </c>
      <c r="D97" s="638" t="s">
        <v>47</v>
      </c>
      <c r="E97" s="638" t="s">
        <v>48</v>
      </c>
      <c r="F97" s="639" t="s">
        <v>428</v>
      </c>
      <c r="G97" s="575"/>
      <c r="I97" s="243"/>
      <c r="J97" s="243"/>
      <c r="K97" s="243"/>
    </row>
    <row r="98" spans="1:12">
      <c r="A98" s="360" t="s">
        <v>408</v>
      </c>
      <c r="B98" s="426" t="s">
        <v>70</v>
      </c>
      <c r="C98" s="537">
        <v>12</v>
      </c>
      <c r="D98" s="427">
        <f>AVERAGE(285,285,160,285,159.9)</f>
        <v>234.98000000000002</v>
      </c>
      <c r="E98" s="456">
        <f>IFERROR(D98/C98,0)</f>
        <v>19.581666666666667</v>
      </c>
      <c r="F98" s="434"/>
      <c r="G98" s="564"/>
      <c r="H98" s="560"/>
      <c r="I98" s="197"/>
      <c r="J98" s="198"/>
      <c r="K98" s="198"/>
    </row>
    <row r="99" spans="1:12">
      <c r="A99" s="380" t="s">
        <v>412</v>
      </c>
      <c r="B99" s="430" t="s">
        <v>70</v>
      </c>
      <c r="C99" s="493">
        <v>6</v>
      </c>
      <c r="D99" s="427">
        <f>AVERAGE(74,68.3,59.9,74.9,65.15)</f>
        <v>68.45</v>
      </c>
      <c r="E99" s="456">
        <f t="shared" ref="E99:E106" si="1">IFERROR(D99/C99,0)</f>
        <v>11.408333333333333</v>
      </c>
      <c r="F99" s="434"/>
      <c r="G99" s="564"/>
      <c r="H99" s="560"/>
      <c r="I99" s="243"/>
      <c r="J99" s="243"/>
      <c r="K99" s="243"/>
    </row>
    <row r="100" spans="1:12">
      <c r="A100" s="380" t="s">
        <v>413</v>
      </c>
      <c r="B100" s="430" t="s">
        <v>70</v>
      </c>
      <c r="C100" s="493">
        <v>3</v>
      </c>
      <c r="D100" s="427">
        <f>AVERAGE(43.9,17.6,43.9,43.9,28.88,43.9,43.9,43.9)</f>
        <v>38.734999999999999</v>
      </c>
      <c r="E100" s="456">
        <f t="shared" si="1"/>
        <v>12.911666666666667</v>
      </c>
      <c r="F100" s="434"/>
      <c r="G100" s="564"/>
      <c r="H100" s="560"/>
      <c r="I100" s="243"/>
      <c r="J100" s="243"/>
      <c r="K100" s="243"/>
    </row>
    <row r="101" spans="1:12">
      <c r="A101" s="380" t="s">
        <v>414</v>
      </c>
      <c r="B101" s="430" t="s">
        <v>70</v>
      </c>
      <c r="C101" s="493">
        <v>3</v>
      </c>
      <c r="D101" s="427">
        <f>AVERAGE(18.9,19.68,23.99,11.31,8.55,13.5)</f>
        <v>15.988333333333332</v>
      </c>
      <c r="E101" s="456">
        <f t="shared" si="1"/>
        <v>5.3294444444444435</v>
      </c>
      <c r="F101" s="434"/>
      <c r="G101" s="564"/>
      <c r="H101" s="560"/>
      <c r="I101" s="243"/>
      <c r="J101" s="243"/>
      <c r="K101" s="243"/>
    </row>
    <row r="102" spans="1:12">
      <c r="A102" s="380" t="s">
        <v>76</v>
      </c>
      <c r="B102" s="430" t="s">
        <v>77</v>
      </c>
      <c r="C102" s="493">
        <v>3</v>
      </c>
      <c r="D102" s="427">
        <f>AVERAGE(55.97,52.16,55.97,145.23,119.05)</f>
        <v>85.676000000000002</v>
      </c>
      <c r="E102" s="456">
        <f t="shared" si="1"/>
        <v>28.558666666666667</v>
      </c>
      <c r="F102" s="434"/>
      <c r="G102" s="564"/>
      <c r="H102" s="560"/>
      <c r="I102" s="197"/>
      <c r="J102" s="198"/>
      <c r="K102" s="198"/>
    </row>
    <row r="103" spans="1:12">
      <c r="A103" s="380" t="s">
        <v>78</v>
      </c>
      <c r="B103" s="430" t="s">
        <v>77</v>
      </c>
      <c r="C103" s="493">
        <v>2</v>
      </c>
      <c r="D103" s="427">
        <f>AVERAGE(32/12,14.9/12,20.9,43.27/3,29.99/3)</f>
        <v>9.8456666666666646</v>
      </c>
      <c r="E103" s="456">
        <f t="shared" si="1"/>
        <v>4.9228333333333323</v>
      </c>
      <c r="F103" s="434"/>
      <c r="G103" s="564"/>
      <c r="H103" s="560"/>
      <c r="I103" s="243"/>
      <c r="J103" s="243"/>
      <c r="K103" s="243"/>
    </row>
    <row r="104" spans="1:12">
      <c r="A104" s="538" t="s">
        <v>410</v>
      </c>
      <c r="B104" s="539" t="s">
        <v>70</v>
      </c>
      <c r="C104" s="493">
        <v>6</v>
      </c>
      <c r="D104" s="427">
        <f>AVERAGE(19.89,39.85,34.09,24.9,55)</f>
        <v>34.746000000000002</v>
      </c>
      <c r="E104" s="456">
        <f t="shared" si="1"/>
        <v>5.7910000000000004</v>
      </c>
      <c r="F104" s="540"/>
      <c r="G104" s="564"/>
      <c r="H104" s="560"/>
      <c r="I104" s="197"/>
      <c r="J104" s="198"/>
      <c r="K104" s="198"/>
    </row>
    <row r="105" spans="1:12">
      <c r="A105" s="380" t="s">
        <v>79</v>
      </c>
      <c r="B105" s="430" t="s">
        <v>77</v>
      </c>
      <c r="C105" s="493">
        <v>2</v>
      </c>
      <c r="D105" s="427">
        <f>AVERAGE(23.9,25.9,12.74,19.9,54.9/5,16.48)</f>
        <v>18.316666666666666</v>
      </c>
      <c r="E105" s="456">
        <f t="shared" si="1"/>
        <v>9.1583333333333332</v>
      </c>
      <c r="F105" s="434"/>
      <c r="G105" s="564"/>
      <c r="H105" s="560"/>
      <c r="I105" s="243"/>
      <c r="J105" s="243"/>
      <c r="K105" s="243"/>
    </row>
    <row r="106" spans="1:12">
      <c r="A106" s="380" t="s">
        <v>80</v>
      </c>
      <c r="B106" s="430" t="s">
        <v>81</v>
      </c>
      <c r="C106" s="493">
        <v>1</v>
      </c>
      <c r="D106" s="427">
        <f>AVERAGE(26.98,39.68,17.24,27.83,35.9)</f>
        <v>29.526</v>
      </c>
      <c r="E106" s="456">
        <f t="shared" si="1"/>
        <v>29.526</v>
      </c>
      <c r="F106" s="434"/>
      <c r="G106" s="564"/>
      <c r="H106" s="560"/>
      <c r="I106" s="243"/>
      <c r="J106" s="243"/>
      <c r="K106" s="243"/>
    </row>
    <row r="107" spans="1:12">
      <c r="A107" s="380" t="s">
        <v>82</v>
      </c>
      <c r="B107" s="430" t="s">
        <v>83</v>
      </c>
      <c r="C107" s="495">
        <v>1</v>
      </c>
      <c r="D107" s="427">
        <v>100</v>
      </c>
      <c r="E107" s="435">
        <f t="shared" ref="E107" si="2">C107*D107</f>
        <v>100</v>
      </c>
      <c r="F107" s="434"/>
      <c r="G107" s="564"/>
      <c r="H107" s="560"/>
      <c r="I107" s="243"/>
      <c r="J107" s="243"/>
      <c r="K107" s="243"/>
    </row>
    <row r="108" spans="1:12" ht="11.25" customHeight="1">
      <c r="A108" s="380" t="s">
        <v>56</v>
      </c>
      <c r="B108" s="430" t="s">
        <v>57</v>
      </c>
      <c r="C108" s="495">
        <f>E34</f>
        <v>2</v>
      </c>
      <c r="D108" s="435">
        <f>+SUM(E98:E107)</f>
        <v>227.18794444444444</v>
      </c>
      <c r="E108" s="435">
        <f>C108*D108</f>
        <v>454.37588888888888</v>
      </c>
      <c r="F108" s="434"/>
      <c r="G108" s="564"/>
      <c r="H108" s="407"/>
      <c r="I108" s="243"/>
      <c r="J108" s="243"/>
      <c r="K108" s="243"/>
    </row>
    <row r="109" spans="1:12" ht="16.5" thickBot="1">
      <c r="A109" s="843" t="s">
        <v>84</v>
      </c>
      <c r="B109" s="844"/>
      <c r="C109" s="845"/>
      <c r="D109" s="449" t="s">
        <v>58</v>
      </c>
      <c r="E109" s="458">
        <f>$B$43</f>
        <v>1</v>
      </c>
      <c r="F109" s="451">
        <f>E108*E109</f>
        <v>454.37588888888888</v>
      </c>
      <c r="H109" s="407"/>
      <c r="L109" s="119"/>
    </row>
    <row r="110" spans="1:12">
      <c r="A110" s="695"/>
      <c r="B110" s="695"/>
      <c r="C110" s="695"/>
      <c r="D110" s="696"/>
      <c r="E110" s="697"/>
      <c r="F110" s="492"/>
      <c r="G110" s="358"/>
      <c r="H110" s="407"/>
      <c r="L110" s="119"/>
    </row>
    <row r="111" spans="1:12" ht="11.25" customHeight="1">
      <c r="A111" s="841" t="s">
        <v>85</v>
      </c>
      <c r="B111" s="841"/>
      <c r="C111" s="841"/>
      <c r="D111" s="841"/>
      <c r="E111" s="841"/>
      <c r="F111" s="841"/>
      <c r="G111" s="407"/>
    </row>
    <row r="112" spans="1:12" ht="16.5" thickBot="1">
      <c r="A112" s="605"/>
      <c r="B112" s="605"/>
      <c r="C112" s="605"/>
      <c r="D112" s="606"/>
      <c r="E112" s="606"/>
      <c r="F112" s="606"/>
      <c r="G112" s="407"/>
    </row>
    <row r="113" spans="1:11" ht="11.25" customHeight="1" thickBot="1">
      <c r="A113" s="422" t="s">
        <v>45</v>
      </c>
      <c r="B113" s="423" t="s">
        <v>46</v>
      </c>
      <c r="C113" s="536" t="s">
        <v>75</v>
      </c>
      <c r="D113" s="424" t="s">
        <v>47</v>
      </c>
      <c r="E113" s="424" t="s">
        <v>48</v>
      </c>
      <c r="F113" s="425" t="s">
        <v>420</v>
      </c>
      <c r="G113" s="575"/>
      <c r="H113" s="407"/>
    </row>
    <row r="114" spans="1:11">
      <c r="A114" s="360" t="s">
        <v>408</v>
      </c>
      <c r="B114" s="426" t="s">
        <v>70</v>
      </c>
      <c r="C114" s="537">
        <v>12</v>
      </c>
      <c r="D114" s="427">
        <f>AVERAGE(285,285,160,285,159.9)</f>
        <v>234.98000000000002</v>
      </c>
      <c r="E114" s="456">
        <f>IFERROR(D114/C114,0)</f>
        <v>19.581666666666667</v>
      </c>
      <c r="F114" s="429"/>
      <c r="G114" s="564"/>
      <c r="H114" s="560"/>
    </row>
    <row r="115" spans="1:11">
      <c r="A115" s="380" t="s">
        <v>412</v>
      </c>
      <c r="B115" s="430" t="s">
        <v>70</v>
      </c>
      <c r="C115" s="493">
        <v>6</v>
      </c>
      <c r="D115" s="427">
        <f>AVERAGE(74,68.3,59.9,74.9,65.15)</f>
        <v>68.45</v>
      </c>
      <c r="E115" s="456">
        <f t="shared" ref="E115:E118" si="3">IFERROR(D115/C115,0)</f>
        <v>11.408333333333333</v>
      </c>
      <c r="F115" s="434"/>
      <c r="G115" s="564"/>
      <c r="H115" s="560"/>
      <c r="I115" s="197"/>
      <c r="J115" s="198"/>
      <c r="K115" s="198"/>
    </row>
    <row r="116" spans="1:11">
      <c r="A116" s="380" t="s">
        <v>413</v>
      </c>
      <c r="B116" s="430" t="s">
        <v>70</v>
      </c>
      <c r="C116" s="493">
        <v>3</v>
      </c>
      <c r="D116" s="427">
        <f>AVERAGE(43.9,17.6,43.9,43.9,28.88,43.9,43.9,43.9)</f>
        <v>38.734999999999999</v>
      </c>
      <c r="E116" s="456">
        <f t="shared" si="3"/>
        <v>12.911666666666667</v>
      </c>
      <c r="F116" s="434"/>
      <c r="G116" s="564"/>
      <c r="H116" s="560"/>
      <c r="I116" s="197"/>
      <c r="J116" s="198"/>
      <c r="K116" s="198"/>
    </row>
    <row r="117" spans="1:11">
      <c r="A117" s="380" t="s">
        <v>76</v>
      </c>
      <c r="B117" s="430" t="s">
        <v>77</v>
      </c>
      <c r="C117" s="493">
        <v>3</v>
      </c>
      <c r="D117" s="427">
        <f>AVERAGE(55.97,52.16,55.97,145.23,119.05)</f>
        <v>85.676000000000002</v>
      </c>
      <c r="E117" s="456">
        <f t="shared" si="3"/>
        <v>28.558666666666667</v>
      </c>
      <c r="F117" s="434"/>
      <c r="G117" s="564"/>
      <c r="H117" s="560"/>
      <c r="I117" s="197"/>
      <c r="J117" s="198"/>
      <c r="K117" s="198"/>
    </row>
    <row r="118" spans="1:11">
      <c r="A118" s="380" t="s">
        <v>80</v>
      </c>
      <c r="B118" s="430" t="s">
        <v>81</v>
      </c>
      <c r="C118" s="493">
        <v>1</v>
      </c>
      <c r="D118" s="427">
        <f>AVERAGE(26.98,39.68,17.24,27.83,35.9)</f>
        <v>29.526</v>
      </c>
      <c r="E118" s="456">
        <f t="shared" si="3"/>
        <v>29.526</v>
      </c>
      <c r="F118" s="434"/>
      <c r="G118" s="564"/>
      <c r="H118" s="560"/>
      <c r="I118" s="197"/>
      <c r="J118" s="198"/>
      <c r="K118" s="198"/>
    </row>
    <row r="119" spans="1:11">
      <c r="A119" s="380" t="s">
        <v>82</v>
      </c>
      <c r="B119" s="430" t="s">
        <v>83</v>
      </c>
      <c r="C119" s="495">
        <v>1</v>
      </c>
      <c r="D119" s="427">
        <v>100</v>
      </c>
      <c r="E119" s="435">
        <f t="shared" ref="E119:E120" si="4">C119*D119</f>
        <v>100</v>
      </c>
      <c r="F119" s="434"/>
      <c r="G119" s="564"/>
      <c r="H119" s="560"/>
    </row>
    <row r="120" spans="1:11" ht="11.25" customHeight="1">
      <c r="A120" s="380" t="s">
        <v>56</v>
      </c>
      <c r="B120" s="430" t="s">
        <v>57</v>
      </c>
      <c r="C120" s="495">
        <f>E35</f>
        <v>1</v>
      </c>
      <c r="D120" s="435">
        <f>+SUM(E114:E119)</f>
        <v>201.98633333333333</v>
      </c>
      <c r="E120" s="435">
        <f t="shared" si="4"/>
        <v>201.98633333333333</v>
      </c>
      <c r="F120" s="434"/>
      <c r="G120" s="407"/>
      <c r="H120" s="407"/>
    </row>
    <row r="121" spans="1:11" ht="16.5" thickBot="1">
      <c r="A121" s="843" t="s">
        <v>84</v>
      </c>
      <c r="B121" s="844"/>
      <c r="C121" s="845"/>
      <c r="D121" s="449" t="s">
        <v>58</v>
      </c>
      <c r="E121" s="458">
        <f>$B$43</f>
        <v>1</v>
      </c>
      <c r="F121" s="451">
        <f>E120*E121</f>
        <v>201.98633333333333</v>
      </c>
      <c r="G121" s="407"/>
      <c r="H121" s="407"/>
    </row>
    <row r="122" spans="1:11" ht="11.25" customHeight="1" thickBot="1">
      <c r="G122" s="407"/>
      <c r="H122" s="407"/>
    </row>
    <row r="123" spans="1:11" ht="16.5" thickBot="1">
      <c r="A123" s="489" t="s">
        <v>86</v>
      </c>
      <c r="B123" s="498"/>
      <c r="C123" s="498"/>
      <c r="D123" s="499"/>
      <c r="E123" s="499"/>
      <c r="F123" s="494">
        <f>+F109+F121</f>
        <v>656.36222222222227</v>
      </c>
      <c r="G123" s="407"/>
      <c r="H123" s="407"/>
    </row>
    <row r="124" spans="1:11">
      <c r="A124" s="605"/>
      <c r="B124" s="605"/>
      <c r="C124" s="605"/>
      <c r="D124" s="606"/>
      <c r="E124" s="606"/>
      <c r="F124" s="606"/>
      <c r="H124" s="196"/>
      <c r="I124" s="197"/>
      <c r="J124" s="198"/>
      <c r="K124" s="198"/>
    </row>
    <row r="125" spans="1:11">
      <c r="A125" s="634" t="s">
        <v>87</v>
      </c>
      <c r="B125" s="605"/>
      <c r="C125" s="605"/>
      <c r="D125" s="606"/>
      <c r="E125" s="606"/>
      <c r="F125" s="606"/>
    </row>
    <row r="126" spans="1:11">
      <c r="A126" s="634"/>
      <c r="B126" s="605"/>
      <c r="C126" s="605"/>
      <c r="D126" s="606"/>
      <c r="E126" s="606"/>
      <c r="F126" s="606"/>
      <c r="H126" s="196"/>
      <c r="I126" s="197"/>
      <c r="J126" s="198"/>
      <c r="K126" s="198"/>
    </row>
    <row r="127" spans="1:11">
      <c r="A127" s="240" t="s">
        <v>431</v>
      </c>
      <c r="B127" s="605"/>
      <c r="C127" s="605"/>
      <c r="D127" s="606"/>
      <c r="E127" s="606"/>
      <c r="F127" s="606"/>
    </row>
    <row r="128" spans="1:11">
      <c r="A128" s="605"/>
      <c r="B128" s="605"/>
      <c r="C128" s="605"/>
      <c r="D128" s="606"/>
      <c r="E128" s="606"/>
      <c r="F128" s="606"/>
    </row>
    <row r="129" spans="1:12" s="119" customFormat="1" ht="11.25" customHeight="1" thickBot="1">
      <c r="A129" s="718" t="s">
        <v>174</v>
      </c>
      <c r="B129" s="605"/>
      <c r="C129" s="605"/>
      <c r="D129" s="606"/>
      <c r="E129" s="606"/>
      <c r="F129" s="606"/>
      <c r="G129" s="357"/>
      <c r="H129" s="196"/>
      <c r="I129" s="122"/>
      <c r="J129" s="122"/>
      <c r="K129" s="122"/>
      <c r="L129" s="122"/>
    </row>
    <row r="130" spans="1:12" ht="16.5" thickBot="1">
      <c r="A130" s="704" t="s">
        <v>45</v>
      </c>
      <c r="B130" s="705" t="s">
        <v>46</v>
      </c>
      <c r="C130" s="705" t="s">
        <v>39</v>
      </c>
      <c r="D130" s="706" t="s">
        <v>47</v>
      </c>
      <c r="E130" s="706" t="s">
        <v>48</v>
      </c>
      <c r="F130" s="639" t="s">
        <v>428</v>
      </c>
      <c r="G130" s="552"/>
      <c r="I130" s="119"/>
      <c r="J130" s="119"/>
      <c r="K130" s="119"/>
    </row>
    <row r="131" spans="1:12" ht="11.25" customHeight="1">
      <c r="A131" s="167" t="s">
        <v>432</v>
      </c>
      <c r="B131" s="665" t="s">
        <v>70</v>
      </c>
      <c r="C131" s="200">
        <v>1</v>
      </c>
      <c r="D131" s="225">
        <v>380000</v>
      </c>
      <c r="E131" s="202">
        <f>C131*D131</f>
        <v>380000</v>
      </c>
      <c r="F131" s="702"/>
      <c r="G131" s="359"/>
    </row>
    <row r="132" spans="1:12" ht="17.25" customHeight="1">
      <c r="A132" s="167" t="s">
        <v>433</v>
      </c>
      <c r="B132" s="665" t="s">
        <v>91</v>
      </c>
      <c r="C132" s="203">
        <v>10</v>
      </c>
      <c r="D132" s="204"/>
      <c r="E132" s="202"/>
      <c r="F132" s="702"/>
      <c r="G132" s="578"/>
    </row>
    <row r="133" spans="1:12">
      <c r="A133" s="167" t="s">
        <v>179</v>
      </c>
      <c r="B133" s="665" t="s">
        <v>91</v>
      </c>
      <c r="C133" s="203">
        <v>0</v>
      </c>
      <c r="D133" s="202"/>
      <c r="E133" s="202"/>
      <c r="F133" s="703"/>
      <c r="G133" s="575"/>
    </row>
    <row r="134" spans="1:12">
      <c r="A134" s="167" t="s">
        <v>180</v>
      </c>
      <c r="B134" s="665" t="s">
        <v>9</v>
      </c>
      <c r="C134" s="437">
        <f>'5. Depreciação'!B13</f>
        <v>65.180000000000007</v>
      </c>
      <c r="D134" s="666">
        <f>E131</f>
        <v>380000</v>
      </c>
      <c r="E134" s="666">
        <f>C134*D134/100</f>
        <v>247684.00000000003</v>
      </c>
      <c r="F134" s="702"/>
      <c r="G134" s="575"/>
      <c r="H134" s="196"/>
    </row>
    <row r="135" spans="1:12">
      <c r="A135" s="700" t="s">
        <v>434</v>
      </c>
      <c r="B135" s="662" t="s">
        <v>50</v>
      </c>
      <c r="C135" s="662">
        <f>C132*12</f>
        <v>120</v>
      </c>
      <c r="D135" s="663">
        <f>IF(C133&lt;=C132,E134,0)</f>
        <v>247684.00000000003</v>
      </c>
      <c r="E135" s="663">
        <f>IFERROR(D135/C135,0)</f>
        <v>2064.0333333333338</v>
      </c>
      <c r="F135" s="702"/>
      <c r="G135" s="575"/>
      <c r="K135" s="118"/>
      <c r="L135" s="118"/>
    </row>
    <row r="136" spans="1:12">
      <c r="A136" s="709" t="s">
        <v>435</v>
      </c>
      <c r="B136" s="662"/>
      <c r="C136" s="662"/>
      <c r="D136" s="663"/>
      <c r="E136" s="663">
        <f>E135</f>
        <v>2064.0333333333338</v>
      </c>
      <c r="F136" s="702"/>
      <c r="K136" s="118"/>
    </row>
    <row r="137" spans="1:12" ht="11.25" customHeight="1" thickBot="1">
      <c r="A137" s="700" t="s">
        <v>436</v>
      </c>
      <c r="B137" s="662" t="s">
        <v>70</v>
      </c>
      <c r="C137" s="710">
        <v>1</v>
      </c>
      <c r="D137" s="663">
        <f>E136</f>
        <v>2064.0333333333338</v>
      </c>
      <c r="E137" s="663">
        <f>SUM(C137*D137)</f>
        <v>2064.0333333333338</v>
      </c>
      <c r="F137" s="702"/>
      <c r="K137" s="118"/>
    </row>
    <row r="138" spans="1:12" ht="16.5" thickBot="1">
      <c r="A138" s="871">
        <f>F125</f>
        <v>0</v>
      </c>
      <c r="B138" s="872"/>
      <c r="C138" s="873"/>
      <c r="D138" s="707" t="s">
        <v>58</v>
      </c>
      <c r="E138" s="708">
        <f>$B$43</f>
        <v>1</v>
      </c>
      <c r="F138" s="701">
        <f>SUM(E137*E138)</f>
        <v>2064.0333333333338</v>
      </c>
      <c r="H138" s="196"/>
      <c r="I138" s="197"/>
      <c r="J138" s="198"/>
      <c r="K138" s="118"/>
    </row>
    <row r="139" spans="1:12">
      <c r="A139" s="672"/>
      <c r="B139" s="672"/>
      <c r="C139" s="672"/>
      <c r="D139" s="654"/>
      <c r="E139" s="606"/>
      <c r="F139" s="698"/>
      <c r="G139" s="359"/>
      <c r="H139" s="196"/>
      <c r="I139" s="197"/>
      <c r="J139" s="198"/>
      <c r="K139" s="118"/>
    </row>
    <row r="140" spans="1:12" ht="16.5" thickBot="1">
      <c r="A140" s="718" t="s">
        <v>183</v>
      </c>
      <c r="B140" s="605"/>
      <c r="C140" s="605"/>
      <c r="D140" s="606"/>
      <c r="E140" s="606"/>
      <c r="F140" s="606"/>
      <c r="H140" s="220"/>
      <c r="K140" s="118"/>
    </row>
    <row r="141" spans="1:12" ht="16.5" thickBot="1">
      <c r="A141" s="636" t="s">
        <v>45</v>
      </c>
      <c r="B141" s="637" t="s">
        <v>46</v>
      </c>
      <c r="C141" s="637" t="s">
        <v>39</v>
      </c>
      <c r="D141" s="638" t="s">
        <v>47</v>
      </c>
      <c r="E141" s="638" t="s">
        <v>48</v>
      </c>
      <c r="F141" s="639" t="s">
        <v>428</v>
      </c>
      <c r="K141" s="118"/>
    </row>
    <row r="142" spans="1:12">
      <c r="A142" s="664" t="s">
        <v>187</v>
      </c>
      <c r="B142" s="665" t="s">
        <v>70</v>
      </c>
      <c r="C142" s="665">
        <v>1</v>
      </c>
      <c r="D142" s="711">
        <f>D131</f>
        <v>380000</v>
      </c>
      <c r="E142" s="666">
        <f>C142*D142</f>
        <v>380000</v>
      </c>
      <c r="F142" s="702"/>
      <c r="G142" s="359"/>
    </row>
    <row r="143" spans="1:12">
      <c r="A143" s="667" t="s">
        <v>104</v>
      </c>
      <c r="B143" s="660" t="s">
        <v>9</v>
      </c>
      <c r="C143" s="712">
        <v>14</v>
      </c>
      <c r="D143" s="652"/>
      <c r="E143" s="652"/>
      <c r="F143" s="702"/>
      <c r="H143" s="196"/>
    </row>
    <row r="144" spans="1:12">
      <c r="A144" s="673" t="s">
        <v>188</v>
      </c>
      <c r="B144" s="661" t="s">
        <v>51</v>
      </c>
      <c r="C144" s="253">
        <f>IFERROR(IF(C133&lt;=C132,E131-(C134/(100*C132)*C133)*E131,E131-E134),0)</f>
        <v>380000</v>
      </c>
      <c r="D144" s="653"/>
      <c r="E144" s="653"/>
      <c r="F144" s="703"/>
    </row>
    <row r="145" spans="1:11">
      <c r="A145" s="673" t="s">
        <v>189</v>
      </c>
      <c r="B145" s="661" t="s">
        <v>51</v>
      </c>
      <c r="C145" s="204">
        <f>IFERROR(IF(C128&gt;=C127,C144,((((C144)-(E126-E129))*(((C127-C128)+1)/(2*(C127-C128))))+(E126-E129))),0)</f>
        <v>380000</v>
      </c>
      <c r="D145" s="653"/>
      <c r="E145" s="653"/>
      <c r="F145" s="702"/>
      <c r="H145" s="220"/>
    </row>
    <row r="146" spans="1:11">
      <c r="A146" s="668" t="s">
        <v>190</v>
      </c>
      <c r="B146" s="669" t="s">
        <v>51</v>
      </c>
      <c r="C146" s="669"/>
      <c r="D146" s="670">
        <f>C143*C145/12/100</f>
        <v>4433.333333333333</v>
      </c>
      <c r="E146" s="670">
        <f>D146</f>
        <v>4433.333333333333</v>
      </c>
      <c r="F146" s="702"/>
    </row>
    <row r="147" spans="1:11">
      <c r="A147" s="709" t="s">
        <v>435</v>
      </c>
      <c r="B147" s="662"/>
      <c r="C147" s="662"/>
      <c r="D147" s="663"/>
      <c r="E147" s="663">
        <f>E146</f>
        <v>4433.333333333333</v>
      </c>
      <c r="F147" s="702"/>
    </row>
    <row r="148" spans="1:11" ht="16.5" thickBot="1">
      <c r="A148" s="700" t="s">
        <v>436</v>
      </c>
      <c r="B148" s="662" t="s">
        <v>70</v>
      </c>
      <c r="C148" s="710">
        <v>1</v>
      </c>
      <c r="D148" s="663">
        <f>E147</f>
        <v>4433.333333333333</v>
      </c>
      <c r="E148" s="663">
        <f>SUM(C148*D148)</f>
        <v>4433.333333333333</v>
      </c>
      <c r="F148" s="702"/>
      <c r="H148" s="119"/>
    </row>
    <row r="149" spans="1:11" ht="16.5" thickBot="1">
      <c r="A149" s="871">
        <f>F136</f>
        <v>0</v>
      </c>
      <c r="B149" s="872"/>
      <c r="C149" s="873"/>
      <c r="D149" s="707" t="s">
        <v>58</v>
      </c>
      <c r="E149" s="708">
        <f>$B$43</f>
        <v>1</v>
      </c>
      <c r="F149" s="701">
        <f>SUM(E148*E149)</f>
        <v>4433.333333333333</v>
      </c>
    </row>
    <row r="150" spans="1:11">
      <c r="A150" s="605"/>
      <c r="B150" s="605"/>
      <c r="C150" s="605"/>
      <c r="D150" s="606"/>
      <c r="E150" s="606"/>
      <c r="F150" s="606"/>
    </row>
    <row r="151" spans="1:11" ht="16.5" thickBot="1">
      <c r="A151" s="718" t="s">
        <v>191</v>
      </c>
      <c r="B151" s="605"/>
      <c r="C151" s="605"/>
      <c r="D151" s="606"/>
      <c r="E151" s="606"/>
      <c r="F151" s="606"/>
    </row>
    <row r="152" spans="1:11" ht="16.5" thickBot="1">
      <c r="A152" s="636" t="s">
        <v>45</v>
      </c>
      <c r="B152" s="637" t="s">
        <v>46</v>
      </c>
      <c r="C152" s="637" t="s">
        <v>39</v>
      </c>
      <c r="D152" s="638" t="s">
        <v>47</v>
      </c>
      <c r="E152" s="638" t="s">
        <v>48</v>
      </c>
      <c r="F152" s="639" t="s">
        <v>428</v>
      </c>
    </row>
    <row r="153" spans="1:11">
      <c r="A153" s="642" t="s">
        <v>437</v>
      </c>
      <c r="B153" s="643" t="s">
        <v>70</v>
      </c>
      <c r="C153" s="565">
        <v>1</v>
      </c>
      <c r="D153" s="713">
        <v>4000</v>
      </c>
      <c r="E153" s="645">
        <f t="shared" ref="E153" si="5">C153*D153</f>
        <v>4000</v>
      </c>
      <c r="F153" s="714"/>
      <c r="G153" s="359"/>
      <c r="K153" s="118"/>
    </row>
    <row r="154" spans="1:11" ht="16.5" thickBot="1">
      <c r="A154" s="675" t="s">
        <v>116</v>
      </c>
      <c r="B154" s="676" t="s">
        <v>50</v>
      </c>
      <c r="C154" s="676">
        <v>12</v>
      </c>
      <c r="D154" s="677">
        <f>SUM(E153)</f>
        <v>4000</v>
      </c>
      <c r="E154" s="678">
        <f>D154/C154</f>
        <v>333.33333333333331</v>
      </c>
      <c r="F154" s="715"/>
      <c r="K154" s="118"/>
    </row>
    <row r="155" spans="1:11" ht="16.5" thickBot="1">
      <c r="A155" s="871">
        <f>F142</f>
        <v>0</v>
      </c>
      <c r="B155" s="872"/>
      <c r="C155" s="873"/>
      <c r="D155" s="707" t="s">
        <v>58</v>
      </c>
      <c r="E155" s="708">
        <f>$B$43</f>
        <v>1</v>
      </c>
      <c r="F155" s="716">
        <f>E154*E155</f>
        <v>333.33333333333331</v>
      </c>
      <c r="K155" s="118"/>
    </row>
    <row r="156" spans="1:11">
      <c r="A156" s="605"/>
      <c r="B156" s="605"/>
      <c r="C156" s="605"/>
      <c r="D156" s="606"/>
      <c r="E156" s="606"/>
      <c r="F156" s="606"/>
      <c r="K156" s="118"/>
    </row>
    <row r="157" spans="1:11">
      <c r="A157" s="718" t="s">
        <v>192</v>
      </c>
      <c r="B157" s="679"/>
      <c r="C157" s="605"/>
      <c r="D157" s="606"/>
      <c r="E157" s="606"/>
      <c r="F157" s="606"/>
      <c r="K157" s="118"/>
    </row>
    <row r="158" spans="1:11">
      <c r="A158" s="605"/>
      <c r="B158" s="679"/>
      <c r="C158" s="605"/>
      <c r="D158" s="606"/>
      <c r="E158" s="606"/>
      <c r="F158" s="606"/>
      <c r="H158" s="196"/>
      <c r="K158" s="118"/>
    </row>
    <row r="159" spans="1:11">
      <c r="A159" s="680" t="s">
        <v>205</v>
      </c>
      <c r="B159" s="717">
        <v>220</v>
      </c>
      <c r="C159" s="648"/>
      <c r="D159" s="649"/>
      <c r="E159" s="649"/>
      <c r="F159" s="649"/>
      <c r="K159" s="118"/>
    </row>
    <row r="160" spans="1:11" ht="16.5" thickBot="1">
      <c r="A160" s="648"/>
      <c r="B160" s="681"/>
      <c r="C160" s="648"/>
      <c r="D160" s="649"/>
      <c r="E160" s="649"/>
      <c r="F160" s="649"/>
    </row>
    <row r="161" spans="1:12" ht="16.5" thickBot="1">
      <c r="A161" s="719" t="s">
        <v>45</v>
      </c>
      <c r="B161" s="720" t="s">
        <v>46</v>
      </c>
      <c r="C161" s="720" t="s">
        <v>119</v>
      </c>
      <c r="D161" s="721" t="s">
        <v>47</v>
      </c>
      <c r="E161" s="721" t="s">
        <v>48</v>
      </c>
      <c r="F161" s="190" t="s">
        <v>420</v>
      </c>
    </row>
    <row r="162" spans="1:12">
      <c r="A162" s="723" t="s">
        <v>438</v>
      </c>
      <c r="B162" s="682" t="s">
        <v>206</v>
      </c>
      <c r="C162" s="262">
        <v>8</v>
      </c>
      <c r="D162" s="263">
        <v>6.81</v>
      </c>
      <c r="E162" s="565"/>
      <c r="F162" s="715"/>
    </row>
    <row r="163" spans="1:12">
      <c r="A163" s="380" t="s">
        <v>122</v>
      </c>
      <c r="B163" s="430" t="s">
        <v>207</v>
      </c>
      <c r="C163" s="724">
        <f>SUM(B159)</f>
        <v>220</v>
      </c>
      <c r="D163" s="267">
        <f>IFERROR(+D162/C162,"-")</f>
        <v>0.85124999999999995</v>
      </c>
      <c r="E163" s="683">
        <f>IFERROR(C163*D163,"-")</f>
        <v>187.27499999999998</v>
      </c>
      <c r="F163" s="715"/>
    </row>
    <row r="164" spans="1:12">
      <c r="A164" s="380" t="s">
        <v>208</v>
      </c>
      <c r="B164" s="430" t="s">
        <v>209</v>
      </c>
      <c r="C164" s="271">
        <v>32</v>
      </c>
      <c r="D164" s="272">
        <v>26</v>
      </c>
      <c r="E164" s="683"/>
      <c r="F164" s="715"/>
    </row>
    <row r="165" spans="1:12">
      <c r="A165" s="380" t="s">
        <v>126</v>
      </c>
      <c r="B165" s="430" t="s">
        <v>207</v>
      </c>
      <c r="C165" s="725">
        <f>C163</f>
        <v>220</v>
      </c>
      <c r="D165" s="276">
        <f>+C164*D164/1000</f>
        <v>0.83199999999999996</v>
      </c>
      <c r="E165" s="683">
        <f t="shared" ref="E165:E169" si="6">C165*D165</f>
        <v>183.04</v>
      </c>
      <c r="F165" s="715"/>
    </row>
    <row r="166" spans="1:12">
      <c r="A166" s="380" t="s">
        <v>210</v>
      </c>
      <c r="B166" s="430" t="s">
        <v>209</v>
      </c>
      <c r="C166" s="280">
        <v>15</v>
      </c>
      <c r="D166" s="281">
        <v>65</v>
      </c>
      <c r="E166" s="683"/>
      <c r="F166" s="715"/>
    </row>
    <row r="167" spans="1:12">
      <c r="A167" s="380" t="s">
        <v>128</v>
      </c>
      <c r="B167" s="430" t="s">
        <v>207</v>
      </c>
      <c r="C167" s="725">
        <f>C163</f>
        <v>220</v>
      </c>
      <c r="D167" s="276">
        <f>+C166*D166/1000</f>
        <v>0.97499999999999998</v>
      </c>
      <c r="E167" s="683">
        <f t="shared" si="6"/>
        <v>214.5</v>
      </c>
      <c r="F167" s="715"/>
    </row>
    <row r="168" spans="1:12">
      <c r="A168" s="380" t="s">
        <v>211</v>
      </c>
      <c r="B168" s="430" t="s">
        <v>209</v>
      </c>
      <c r="C168" s="271">
        <v>50</v>
      </c>
      <c r="D168" s="272">
        <v>25</v>
      </c>
      <c r="E168" s="683"/>
      <c r="F168" s="715"/>
    </row>
    <row r="169" spans="1:12" s="121" customFormat="1">
      <c r="A169" s="380" t="s">
        <v>130</v>
      </c>
      <c r="B169" s="430" t="s">
        <v>207</v>
      </c>
      <c r="C169" s="725">
        <f>C163</f>
        <v>220</v>
      </c>
      <c r="D169" s="276">
        <f>+C168*D168/1000</f>
        <v>1.25</v>
      </c>
      <c r="E169" s="683">
        <f t="shared" si="6"/>
        <v>275</v>
      </c>
      <c r="F169" s="715"/>
      <c r="G169" s="357"/>
      <c r="H169" s="122"/>
      <c r="I169" s="122"/>
      <c r="J169" s="122"/>
      <c r="K169" s="122"/>
      <c r="L169" s="122"/>
    </row>
    <row r="170" spans="1:12">
      <c r="A170" s="380" t="s">
        <v>212</v>
      </c>
      <c r="B170" s="430" t="s">
        <v>213</v>
      </c>
      <c r="C170" s="271">
        <v>50</v>
      </c>
      <c r="D170" s="272">
        <v>40</v>
      </c>
      <c r="E170" s="683"/>
      <c r="F170" s="715"/>
    </row>
    <row r="171" spans="1:12">
      <c r="A171" s="380" t="s">
        <v>133</v>
      </c>
      <c r="B171" s="430" t="s">
        <v>207</v>
      </c>
      <c r="C171" s="725">
        <f>C163</f>
        <v>220</v>
      </c>
      <c r="D171" s="276">
        <f>+C170*D170/1000</f>
        <v>2</v>
      </c>
      <c r="E171" s="683">
        <f>C171*D171</f>
        <v>440</v>
      </c>
      <c r="F171" s="715"/>
    </row>
    <row r="172" spans="1:12" ht="16.5" thickBot="1">
      <c r="A172" s="443" t="s">
        <v>214</v>
      </c>
      <c r="B172" s="439" t="s">
        <v>215</v>
      </c>
      <c r="C172" s="483"/>
      <c r="D172" s="484">
        <f>IFERROR(D163+D165+D167+D169+D171,0)</f>
        <v>5.9082499999999998</v>
      </c>
      <c r="E172" s="683"/>
      <c r="F172" s="715"/>
    </row>
    <row r="173" spans="1:12" ht="16.5" thickBot="1">
      <c r="A173" s="867" t="str">
        <f>F161</f>
        <v>Total (R$)</v>
      </c>
      <c r="B173" s="868"/>
      <c r="C173" s="868"/>
      <c r="D173" s="868"/>
      <c r="E173" s="869"/>
      <c r="F173" s="722">
        <f>SUM(E162:E171)</f>
        <v>1299.8150000000001</v>
      </c>
    </row>
    <row r="174" spans="1:12">
      <c r="A174" s="605"/>
      <c r="B174" s="605"/>
      <c r="C174" s="605"/>
      <c r="D174" s="606"/>
      <c r="E174" s="606"/>
      <c r="F174" s="606"/>
    </row>
    <row r="175" spans="1:12" ht="16.5" thickBot="1">
      <c r="A175" s="718" t="s">
        <v>193</v>
      </c>
      <c r="B175" s="605"/>
      <c r="C175" s="605"/>
      <c r="D175" s="606"/>
      <c r="E175" s="606"/>
      <c r="F175" s="606"/>
    </row>
    <row r="176" spans="1:12" ht="16.5" thickBot="1">
      <c r="A176" s="187" t="s">
        <v>45</v>
      </c>
      <c r="B176" s="188" t="s">
        <v>46</v>
      </c>
      <c r="C176" s="188" t="s">
        <v>39</v>
      </c>
      <c r="D176" s="189" t="s">
        <v>47</v>
      </c>
      <c r="E176" s="189" t="s">
        <v>48</v>
      </c>
      <c r="F176" s="190" t="s">
        <v>420</v>
      </c>
    </row>
    <row r="177" spans="1:7" ht="16.5" thickBot="1">
      <c r="A177" s="360" t="s">
        <v>194</v>
      </c>
      <c r="B177" s="647" t="s">
        <v>439</v>
      </c>
      <c r="C177" s="684">
        <f>SUM(B159)</f>
        <v>220</v>
      </c>
      <c r="D177" s="726">
        <v>1.22</v>
      </c>
      <c r="E177" s="565">
        <f>C177*D177</f>
        <v>268.39999999999998</v>
      </c>
      <c r="F177" s="715"/>
      <c r="G177" s="575"/>
    </row>
    <row r="178" spans="1:7" ht="16.5" thickBot="1">
      <c r="A178" s="867" t="str">
        <f>F176</f>
        <v>Total (R$)</v>
      </c>
      <c r="B178" s="868"/>
      <c r="C178" s="868"/>
      <c r="D178" s="868"/>
      <c r="E178" s="869"/>
      <c r="F178" s="722">
        <f>E177</f>
        <v>268.39999999999998</v>
      </c>
    </row>
    <row r="179" spans="1:7">
      <c r="A179" s="605"/>
      <c r="B179" s="605"/>
      <c r="C179" s="605"/>
      <c r="D179" s="606"/>
      <c r="E179" s="606"/>
      <c r="F179" s="606"/>
    </row>
    <row r="180" spans="1:7" ht="16.5" thickBot="1">
      <c r="A180" s="718" t="s">
        <v>195</v>
      </c>
      <c r="B180" s="605"/>
      <c r="C180" s="605"/>
      <c r="D180" s="606"/>
      <c r="E180" s="606"/>
      <c r="F180" s="606"/>
    </row>
    <row r="181" spans="1:7" ht="16.5" thickBot="1">
      <c r="A181" s="636" t="s">
        <v>45</v>
      </c>
      <c r="B181" s="637" t="s">
        <v>46</v>
      </c>
      <c r="C181" s="637" t="s">
        <v>39</v>
      </c>
      <c r="D181" s="638" t="s">
        <v>47</v>
      </c>
      <c r="E181" s="638" t="s">
        <v>48</v>
      </c>
      <c r="F181" s="639" t="s">
        <v>428</v>
      </c>
    </row>
    <row r="182" spans="1:7">
      <c r="A182" s="360" t="s">
        <v>216</v>
      </c>
      <c r="B182" s="426" t="s">
        <v>70</v>
      </c>
      <c r="C182" s="486">
        <v>2</v>
      </c>
      <c r="D182" s="737">
        <v>3560</v>
      </c>
      <c r="E182" s="686">
        <f t="shared" ref="E182:E186" si="7">C182*D182</f>
        <v>7120</v>
      </c>
      <c r="F182" s="702"/>
    </row>
    <row r="183" spans="1:7">
      <c r="A183" s="191" t="s">
        <v>217</v>
      </c>
      <c r="B183" s="426" t="s">
        <v>70</v>
      </c>
      <c r="C183" s="486">
        <v>2</v>
      </c>
      <c r="D183" s="737">
        <v>8450</v>
      </c>
      <c r="E183" s="686">
        <f t="shared" si="7"/>
        <v>16900</v>
      </c>
      <c r="F183" s="702"/>
    </row>
    <row r="184" spans="1:7">
      <c r="A184" s="360" t="s">
        <v>139</v>
      </c>
      <c r="B184" s="426" t="s">
        <v>70</v>
      </c>
      <c r="C184" s="486">
        <v>1</v>
      </c>
      <c r="D184" s="685"/>
      <c r="E184" s="686"/>
      <c r="F184" s="702"/>
    </row>
    <row r="185" spans="1:7">
      <c r="A185" s="360" t="s">
        <v>218</v>
      </c>
      <c r="B185" s="426" t="s">
        <v>70</v>
      </c>
      <c r="C185" s="685">
        <v>1</v>
      </c>
      <c r="D185" s="737">
        <v>1530</v>
      </c>
      <c r="E185" s="686">
        <f t="shared" si="7"/>
        <v>1530</v>
      </c>
      <c r="F185" s="702"/>
    </row>
    <row r="186" spans="1:7">
      <c r="A186" s="360" t="s">
        <v>219</v>
      </c>
      <c r="B186" s="426" t="s">
        <v>70</v>
      </c>
      <c r="C186" s="685">
        <v>1</v>
      </c>
      <c r="D186" s="737">
        <v>4200</v>
      </c>
      <c r="E186" s="686">
        <f t="shared" si="7"/>
        <v>4200</v>
      </c>
      <c r="F186" s="702"/>
    </row>
    <row r="187" spans="1:7">
      <c r="A187" s="380" t="s">
        <v>220</v>
      </c>
      <c r="B187" s="430" t="s">
        <v>221</v>
      </c>
      <c r="C187" s="488">
        <v>20000</v>
      </c>
      <c r="D187" s="674">
        <f>E182+E183+E185+E186</f>
        <v>29750</v>
      </c>
      <c r="E187" s="687">
        <f>IFERROR(D187/C187,"-")</f>
        <v>1.4875</v>
      </c>
      <c r="F187" s="702"/>
    </row>
    <row r="188" spans="1:7" ht="16.5" thickBot="1">
      <c r="A188" s="673" t="s">
        <v>143</v>
      </c>
      <c r="B188" s="661" t="s">
        <v>222</v>
      </c>
      <c r="C188" s="688">
        <f>B159</f>
        <v>220</v>
      </c>
      <c r="D188" s="683">
        <f>E187</f>
        <v>1.4875</v>
      </c>
      <c r="E188" s="687">
        <f>IFERROR(C188*D188,0)</f>
        <v>327.25</v>
      </c>
      <c r="F188" s="702"/>
    </row>
    <row r="189" spans="1:7" ht="16.5" thickBot="1">
      <c r="A189" s="867" t="s">
        <v>84</v>
      </c>
      <c r="B189" s="868"/>
      <c r="C189" s="868"/>
      <c r="D189" s="868"/>
      <c r="E189" s="869"/>
      <c r="F189" s="701">
        <f>E188</f>
        <v>327.25</v>
      </c>
    </row>
    <row r="190" spans="1:7" ht="16.5" thickBot="1">
      <c r="A190" s="605"/>
      <c r="B190" s="605"/>
      <c r="C190" s="605"/>
      <c r="D190" s="606"/>
      <c r="E190" s="606"/>
      <c r="F190" s="606"/>
    </row>
    <row r="191" spans="1:7" ht="16.5" thickBot="1">
      <c r="A191" s="655" t="s">
        <v>144</v>
      </c>
      <c r="B191" s="689"/>
      <c r="C191" s="689"/>
      <c r="D191" s="690"/>
      <c r="E191" s="691"/>
      <c r="F191" s="659">
        <f>+SUM(F130:F190)</f>
        <v>8726.1649999999991</v>
      </c>
    </row>
    <row r="192" spans="1:7">
      <c r="A192" s="605"/>
      <c r="B192" s="692"/>
      <c r="C192" s="605"/>
      <c r="D192" s="606"/>
      <c r="E192" s="606"/>
      <c r="F192" s="606"/>
    </row>
    <row r="193" spans="1:8">
      <c r="A193" s="634" t="s">
        <v>145</v>
      </c>
      <c r="B193" s="634"/>
      <c r="C193" s="634"/>
      <c r="D193" s="633"/>
      <c r="E193" s="633"/>
      <c r="F193" s="671"/>
    </row>
    <row r="194" spans="1:8" ht="16.5" thickBot="1">
      <c r="A194" s="605"/>
      <c r="B194" s="605"/>
      <c r="C194" s="605"/>
      <c r="D194" s="606"/>
      <c r="E194" s="606"/>
      <c r="F194" s="606"/>
    </row>
    <row r="195" spans="1:8" ht="16.5" thickBot="1">
      <c r="A195" s="187" t="s">
        <v>45</v>
      </c>
      <c r="B195" s="188" t="s">
        <v>46</v>
      </c>
      <c r="C195" s="188" t="s">
        <v>39</v>
      </c>
      <c r="D195" s="189" t="s">
        <v>47</v>
      </c>
      <c r="E195" s="189" t="s">
        <v>48</v>
      </c>
      <c r="F195" s="190" t="s">
        <v>420</v>
      </c>
      <c r="G195" s="120"/>
      <c r="H195" s="120"/>
    </row>
    <row r="196" spans="1:8">
      <c r="A196" s="199" t="s">
        <v>146</v>
      </c>
      <c r="B196" s="200" t="s">
        <v>70</v>
      </c>
      <c r="C196" s="235">
        <v>8.3333333333333301E-2</v>
      </c>
      <c r="D196" s="193">
        <v>47.95</v>
      </c>
      <c r="E196" s="216">
        <f>C196*D196</f>
        <v>3.9958333333333322</v>
      </c>
      <c r="F196" s="252"/>
      <c r="G196" s="121"/>
      <c r="H196" s="727"/>
    </row>
    <row r="197" spans="1:8">
      <c r="A197" s="199" t="s">
        <v>147</v>
      </c>
      <c r="B197" s="200" t="s">
        <v>70</v>
      </c>
      <c r="C197" s="235">
        <v>8.3333333333333301E-2</v>
      </c>
      <c r="D197" s="193">
        <v>51.88</v>
      </c>
      <c r="E197" s="216">
        <f>C197*D197</f>
        <v>4.3233333333333315</v>
      </c>
      <c r="F197" s="242"/>
      <c r="G197" s="121"/>
      <c r="H197" s="727"/>
    </row>
    <row r="198" spans="1:8">
      <c r="A198" s="199" t="s">
        <v>148</v>
      </c>
      <c r="B198" s="200" t="s">
        <v>70</v>
      </c>
      <c r="C198" s="235">
        <v>0.33333333333333298</v>
      </c>
      <c r="D198" s="193">
        <v>45.56</v>
      </c>
      <c r="E198" s="216">
        <f>C198*D198</f>
        <v>15.186666666666651</v>
      </c>
      <c r="F198" s="242"/>
      <c r="G198" s="121"/>
      <c r="H198" s="727"/>
    </row>
    <row r="199" spans="1:8" ht="16.5" thickBot="1">
      <c r="A199" s="867" t="str">
        <f>F195</f>
        <v>Total (R$)</v>
      </c>
      <c r="B199" s="868"/>
      <c r="C199" s="868"/>
      <c r="D199" s="868"/>
      <c r="E199" s="869"/>
      <c r="F199" s="213">
        <f>SUM(E196:E198)</f>
        <v>23.505833333333314</v>
      </c>
      <c r="G199" s="728"/>
      <c r="H199" s="727"/>
    </row>
    <row r="200" spans="1:8" ht="16.5" thickBot="1">
      <c r="A200" s="605"/>
      <c r="B200" s="605"/>
      <c r="C200" s="605"/>
      <c r="D200" s="606"/>
      <c r="E200" s="606"/>
      <c r="F200" s="606"/>
    </row>
    <row r="201" spans="1:8" ht="16.5" thickBot="1">
      <c r="A201" s="655" t="s">
        <v>149</v>
      </c>
      <c r="B201" s="689"/>
      <c r="C201" s="689"/>
      <c r="D201" s="690"/>
      <c r="E201" s="691"/>
      <c r="F201" s="659">
        <f>+F199</f>
        <v>23.505833333333314</v>
      </c>
    </row>
    <row r="202" spans="1:8">
      <c r="A202" s="605"/>
      <c r="B202" s="605"/>
      <c r="C202" s="605"/>
      <c r="D202" s="606"/>
      <c r="E202" s="606"/>
      <c r="F202" s="606"/>
    </row>
    <row r="203" spans="1:8">
      <c r="A203" s="634" t="s">
        <v>150</v>
      </c>
      <c r="B203" s="634"/>
      <c r="C203" s="634"/>
      <c r="D203" s="633"/>
      <c r="E203" s="633"/>
      <c r="F203" s="671"/>
    </row>
    <row r="204" spans="1:8" ht="16.5" thickBot="1">
      <c r="A204" s="605"/>
      <c r="B204" s="605"/>
      <c r="C204" s="605"/>
      <c r="D204" s="606"/>
      <c r="E204" s="606"/>
      <c r="F204" s="606"/>
    </row>
    <row r="205" spans="1:8" ht="16.5" thickBot="1">
      <c r="A205" s="187" t="s">
        <v>45</v>
      </c>
      <c r="B205" s="188" t="s">
        <v>46</v>
      </c>
      <c r="C205" s="188" t="s">
        <v>39</v>
      </c>
      <c r="D205" s="189" t="s">
        <v>47</v>
      </c>
      <c r="E205" s="189" t="s">
        <v>48</v>
      </c>
      <c r="F205" s="190" t="s">
        <v>420</v>
      </c>
      <c r="G205" s="121"/>
    </row>
    <row r="206" spans="1:8">
      <c r="A206" s="199" t="s">
        <v>151</v>
      </c>
      <c r="B206" s="200" t="s">
        <v>152</v>
      </c>
      <c r="C206" s="236">
        <f>C120</f>
        <v>1</v>
      </c>
      <c r="D206" s="225">
        <v>1003.75264997175</v>
      </c>
      <c r="E206" s="216">
        <f>+D206*C206</f>
        <v>1003.75264997175</v>
      </c>
      <c r="F206" s="252"/>
      <c r="G206" s="121"/>
    </row>
    <row r="207" spans="1:8">
      <c r="A207" s="199" t="s">
        <v>153</v>
      </c>
      <c r="B207" s="200" t="s">
        <v>50</v>
      </c>
      <c r="C207" s="200">
        <v>60</v>
      </c>
      <c r="D207" s="202">
        <f>SUM(E206:E206)</f>
        <v>1003.75264997175</v>
      </c>
      <c r="E207" s="216">
        <f>+D207/C207</f>
        <v>16.729210832862499</v>
      </c>
      <c r="F207" s="242"/>
      <c r="G207" s="572"/>
    </row>
    <row r="208" spans="1:8">
      <c r="A208" s="199" t="s">
        <v>154</v>
      </c>
      <c r="B208" s="200" t="s">
        <v>70</v>
      </c>
      <c r="C208" s="236">
        <f>+C206</f>
        <v>1</v>
      </c>
      <c r="D208" s="225">
        <v>94.470837644400007</v>
      </c>
      <c r="E208" s="216">
        <f>C208*D208</f>
        <v>94.470837644400007</v>
      </c>
      <c r="F208" s="242"/>
      <c r="G208" s="121"/>
    </row>
    <row r="209" spans="1:7">
      <c r="A209" s="199" t="s">
        <v>155</v>
      </c>
      <c r="B209" s="200" t="s">
        <v>50</v>
      </c>
      <c r="C209" s="200">
        <v>1</v>
      </c>
      <c r="D209" s="202">
        <f>+E208</f>
        <v>94.470837644400007</v>
      </c>
      <c r="E209" s="216">
        <f>+D209/C209</f>
        <v>94.470837644400007</v>
      </c>
      <c r="F209" s="242"/>
      <c r="G209" s="121"/>
    </row>
    <row r="210" spans="1:7" ht="16.5" thickBot="1">
      <c r="A210" s="867" t="str">
        <f>F205</f>
        <v>Total (R$)</v>
      </c>
      <c r="B210" s="870"/>
      <c r="C210" s="729"/>
      <c r="D210" s="229" t="s">
        <v>58</v>
      </c>
      <c r="E210" s="230">
        <f>$B$43</f>
        <v>1</v>
      </c>
      <c r="F210" s="213">
        <f>(E207+E209)*E210</f>
        <v>111.2000484772625</v>
      </c>
      <c r="G210" s="121"/>
    </row>
    <row r="211" spans="1:7" ht="16.5" thickBot="1">
      <c r="A211" s="605"/>
      <c r="B211" s="605"/>
      <c r="C211" s="605"/>
      <c r="D211" s="606"/>
      <c r="E211" s="606"/>
      <c r="F211" s="606"/>
    </row>
    <row r="212" spans="1:7" ht="16.5" thickBot="1">
      <c r="A212" s="655" t="s">
        <v>156</v>
      </c>
      <c r="B212" s="689"/>
      <c r="C212" s="689"/>
      <c r="D212" s="690"/>
      <c r="E212" s="691"/>
      <c r="F212" s="659">
        <f>+F210</f>
        <v>111.2000484772625</v>
      </c>
    </row>
    <row r="213" spans="1:7" ht="16.5" thickBot="1">
      <c r="A213" s="605"/>
      <c r="B213" s="605"/>
      <c r="C213" s="605"/>
      <c r="D213" s="606"/>
      <c r="E213" s="606"/>
      <c r="F213" s="606"/>
    </row>
    <row r="214" spans="1:7" ht="16.5" thickBot="1">
      <c r="A214" s="730" t="s">
        <v>157</v>
      </c>
      <c r="B214" s="731"/>
      <c r="C214" s="731"/>
      <c r="D214" s="732"/>
      <c r="E214" s="733"/>
      <c r="F214" s="693">
        <f>SUM(F91+F123+F191+F201+F212)</f>
        <v>25332.278345750725</v>
      </c>
    </row>
    <row r="215" spans="1:7">
      <c r="A215" s="605"/>
      <c r="B215" s="605"/>
      <c r="C215" s="605"/>
      <c r="D215" s="606"/>
      <c r="E215" s="606"/>
      <c r="F215" s="606"/>
    </row>
    <row r="216" spans="1:7">
      <c r="A216" s="634" t="s">
        <v>158</v>
      </c>
      <c r="B216" s="605"/>
      <c r="C216" s="605"/>
      <c r="D216" s="606"/>
      <c r="E216" s="606"/>
      <c r="F216" s="606"/>
    </row>
    <row r="217" spans="1:7" ht="16.5" thickBot="1">
      <c r="A217" s="605"/>
      <c r="B217" s="605"/>
      <c r="C217" s="605"/>
      <c r="D217" s="606"/>
      <c r="E217" s="606"/>
      <c r="F217" s="606"/>
    </row>
    <row r="218" spans="1:7" ht="16.5" thickBot="1">
      <c r="A218" s="636" t="s">
        <v>45</v>
      </c>
      <c r="B218" s="637" t="s">
        <v>46</v>
      </c>
      <c r="C218" s="637" t="s">
        <v>39</v>
      </c>
      <c r="D218" s="638" t="s">
        <v>47</v>
      </c>
      <c r="E218" s="638" t="s">
        <v>48</v>
      </c>
      <c r="F218" s="639" t="s">
        <v>428</v>
      </c>
    </row>
    <row r="219" spans="1:7">
      <c r="A219" s="667" t="s">
        <v>159</v>
      </c>
      <c r="B219" s="660" t="s">
        <v>9</v>
      </c>
      <c r="C219" s="694">
        <f>'4.BDI'!B14</f>
        <v>0.2636</v>
      </c>
      <c r="D219" s="652">
        <f>+F214</f>
        <v>25332.278345750725</v>
      </c>
      <c r="E219" s="652">
        <f>C219*D219</f>
        <v>6677.5885719398912</v>
      </c>
      <c r="F219" s="702"/>
    </row>
    <row r="220" spans="1:7" ht="16.5" thickBot="1">
      <c r="A220" s="867" t="str">
        <f>F218</f>
        <v>Total (R$)</v>
      </c>
      <c r="B220" s="870"/>
      <c r="C220" s="870"/>
      <c r="D220" s="870"/>
      <c r="E220" s="870"/>
      <c r="F220" s="734">
        <f>+E219</f>
        <v>6677.5885719398912</v>
      </c>
    </row>
    <row r="221" spans="1:7" ht="16.5" thickBot="1">
      <c r="A221" s="605"/>
      <c r="B221" s="605"/>
      <c r="C221" s="605"/>
      <c r="D221" s="606"/>
      <c r="E221" s="606"/>
      <c r="F221" s="606"/>
    </row>
    <row r="222" spans="1:7" ht="16.5" thickBot="1">
      <c r="A222" s="655" t="s">
        <v>160</v>
      </c>
      <c r="B222" s="656"/>
      <c r="C222" s="656"/>
      <c r="D222" s="657"/>
      <c r="E222" s="658"/>
      <c r="F222" s="693">
        <f>F220</f>
        <v>6677.5885719398912</v>
      </c>
    </row>
    <row r="223" spans="1:7">
      <c r="A223" s="634"/>
      <c r="B223" s="634"/>
      <c r="C223" s="634"/>
      <c r="D223" s="633"/>
      <c r="E223" s="633"/>
      <c r="F223" s="671"/>
    </row>
    <row r="224" spans="1:7" ht="16.5" thickBot="1">
      <c r="A224" s="605"/>
      <c r="B224" s="605"/>
      <c r="C224" s="605"/>
      <c r="D224" s="606"/>
      <c r="E224" s="606"/>
      <c r="F224" s="606"/>
    </row>
    <row r="225" spans="1:6" ht="16.5" thickBot="1">
      <c r="A225" s="655" t="s">
        <v>161</v>
      </c>
      <c r="B225" s="656"/>
      <c r="C225" s="656"/>
      <c r="D225" s="657"/>
      <c r="E225" s="658"/>
      <c r="F225" s="693">
        <f>F214+F222</f>
        <v>32009.866917690615</v>
      </c>
    </row>
  </sheetData>
  <mergeCells count="36">
    <mergeCell ref="A6:F6"/>
    <mergeCell ref="A1:F1"/>
    <mergeCell ref="A2:F2"/>
    <mergeCell ref="A3:F3"/>
    <mergeCell ref="A4:F4"/>
    <mergeCell ref="A5:F5"/>
    <mergeCell ref="A7:F7"/>
    <mergeCell ref="A9:F9"/>
    <mergeCell ref="A53:D53"/>
    <mergeCell ref="A55:D55"/>
    <mergeCell ref="A57:C57"/>
    <mergeCell ref="A17:C17"/>
    <mergeCell ref="A32:E32"/>
    <mergeCell ref="A33:D33"/>
    <mergeCell ref="A38:D38"/>
    <mergeCell ref="A121:C121"/>
    <mergeCell ref="A111:F111"/>
    <mergeCell ref="A65:D65"/>
    <mergeCell ref="A67:D67"/>
    <mergeCell ref="A69:C69"/>
    <mergeCell ref="A71:F71"/>
    <mergeCell ref="A77:E77"/>
    <mergeCell ref="A79:F79"/>
    <mergeCell ref="A83:E83"/>
    <mergeCell ref="A85:F85"/>
    <mergeCell ref="A89:C89"/>
    <mergeCell ref="A109:C109"/>
    <mergeCell ref="A189:E189"/>
    <mergeCell ref="A199:E199"/>
    <mergeCell ref="A210:B210"/>
    <mergeCell ref="A220:E220"/>
    <mergeCell ref="A138:C138"/>
    <mergeCell ref="A149:C149"/>
    <mergeCell ref="A155:C155"/>
    <mergeCell ref="A173:E173"/>
    <mergeCell ref="A178:E178"/>
  </mergeCells>
  <hyperlinks>
    <hyperlink ref="A129" location="Google_Sheet_Link_1530399416" display="3.3.1. Depreciação" xr:uid="{28510740-722D-411A-8C4D-D2A3B99341BB}"/>
    <hyperlink ref="A140" location="Google_Sheet_Link_1573336154" display="3.3.2. Remuneração do Capital" xr:uid="{696FA646-4B3C-443F-B454-EC0AC9974600}"/>
    <hyperlink ref="A21" location="Google_Sheet_Link_1573336154" display=" 3.1.2. Remuneração do Capital " xr:uid="{9D7FD42C-F89A-4D54-B5A8-397F8ABD3D52}"/>
  </hyperlinks>
  <pageMargins left="0.90551181102362199" right="0.511811023622047" top="0.74803149606299202" bottom="0.74803149606299202" header="0.31496062992126" footer="0.31496062992126"/>
  <pageSetup paperSize="9" scale="58" fitToHeight="0" orientation="portrait" r:id="rId1"/>
  <headerFooter alignWithMargins="0">
    <oddFooter>&amp;R&amp;P de &amp;N</oddFooter>
  </headerFooter>
  <rowBreaks count="2" manualBreakCount="2">
    <brk id="37" max="5" man="1"/>
    <brk id="99" max="5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259"/>
  <sheetViews>
    <sheetView view="pageBreakPreview" topLeftCell="A209" zoomScaleNormal="100" workbookViewId="0">
      <selection activeCell="F225" sqref="F225"/>
    </sheetView>
  </sheetViews>
  <sheetFormatPr defaultColWidth="9.140625" defaultRowHeight="15.75"/>
  <cols>
    <col min="1" max="1" width="52" style="120" customWidth="1"/>
    <col min="2" max="2" width="19.85546875" style="120" customWidth="1"/>
    <col min="3" max="3" width="14.7109375" style="120" customWidth="1"/>
    <col min="4" max="4" width="19.7109375" style="121" customWidth="1"/>
    <col min="5" max="5" width="28.5703125" style="121" customWidth="1"/>
    <col min="6" max="6" width="13.5703125" style="121" customWidth="1"/>
    <col min="7" max="7" width="15.140625" style="122" customWidth="1"/>
    <col min="8" max="8" width="17.140625" style="122" customWidth="1"/>
    <col min="9" max="9" width="13.42578125" style="122" customWidth="1"/>
    <col min="10" max="10" width="12.7109375" style="122" customWidth="1"/>
    <col min="11" max="16384" width="9.140625" style="122"/>
  </cols>
  <sheetData>
    <row r="1" spans="1:6" hidden="1">
      <c r="A1" s="749" t="s">
        <v>0</v>
      </c>
      <c r="B1" s="749"/>
      <c r="C1" s="749"/>
      <c r="D1" s="749"/>
      <c r="E1" s="749"/>
      <c r="F1" s="749"/>
    </row>
    <row r="2" spans="1:6" ht="15.6" hidden="1" customHeight="1">
      <c r="A2" s="750" t="s">
        <v>32</v>
      </c>
      <c r="B2" s="750"/>
      <c r="C2" s="750"/>
      <c r="D2" s="750"/>
      <c r="E2" s="750"/>
      <c r="F2" s="750"/>
    </row>
    <row r="3" spans="1:6" ht="15.6" hidden="1" customHeight="1">
      <c r="A3" s="812" t="s">
        <v>33</v>
      </c>
      <c r="B3" s="812"/>
      <c r="C3" s="812"/>
      <c r="D3" s="812"/>
      <c r="E3" s="812"/>
      <c r="F3" s="812"/>
    </row>
    <row r="4" spans="1:6" ht="15.6" customHeight="1">
      <c r="A4" s="751" t="s">
        <v>2</v>
      </c>
      <c r="B4" s="752"/>
      <c r="C4" s="752"/>
      <c r="D4" s="752"/>
      <c r="E4" s="752"/>
      <c r="F4" s="753"/>
    </row>
    <row r="5" spans="1:6" ht="16.5" customHeight="1" thickBot="1">
      <c r="A5" s="754" t="s">
        <v>3</v>
      </c>
      <c r="B5" s="755"/>
      <c r="C5" s="755"/>
      <c r="D5" s="755"/>
      <c r="E5" s="755"/>
      <c r="F5" s="756"/>
    </row>
    <row r="6" spans="1:6">
      <c r="A6" s="884" t="s">
        <v>223</v>
      </c>
      <c r="B6" s="885"/>
      <c r="C6" s="885"/>
      <c r="D6" s="885"/>
      <c r="E6" s="885"/>
      <c r="F6" s="886"/>
    </row>
    <row r="7" spans="1:6" ht="21.75" customHeight="1" thickBot="1">
      <c r="A7" s="887" t="s">
        <v>463</v>
      </c>
      <c r="B7" s="888"/>
      <c r="C7" s="888"/>
      <c r="D7" s="888"/>
      <c r="E7" s="888"/>
      <c r="F7" s="889"/>
    </row>
    <row r="8" spans="1:6">
      <c r="A8" s="890" t="s">
        <v>415</v>
      </c>
      <c r="B8" s="891"/>
      <c r="C8" s="891"/>
      <c r="D8" s="891"/>
      <c r="E8" s="891"/>
      <c r="F8" s="891"/>
    </row>
    <row r="9" spans="1:6" ht="14.25" customHeight="1">
      <c r="A9" s="810" t="s">
        <v>456</v>
      </c>
      <c r="B9" s="857"/>
      <c r="C9" s="857"/>
      <c r="D9" s="857"/>
      <c r="E9" s="857"/>
      <c r="F9" s="857"/>
    </row>
    <row r="10" spans="1:6">
      <c r="A10" s="124" t="s">
        <v>224</v>
      </c>
      <c r="B10" s="747" t="s">
        <v>455</v>
      </c>
      <c r="C10" s="125"/>
      <c r="D10" s="125"/>
      <c r="E10" s="125"/>
      <c r="F10" s="125"/>
    </row>
    <row r="11" spans="1:6">
      <c r="A11" s="126" t="s">
        <v>459</v>
      </c>
      <c r="B11" s="747" t="s">
        <v>455</v>
      </c>
      <c r="C11" s="125"/>
      <c r="D11" s="125"/>
      <c r="E11" s="125"/>
      <c r="F11" s="125"/>
    </row>
    <row r="12" spans="1:6">
      <c r="A12" s="812" t="s">
        <v>458</v>
      </c>
      <c r="B12" s="812"/>
      <c r="C12" s="812"/>
      <c r="D12" s="812"/>
      <c r="E12" s="812"/>
      <c r="F12" s="812"/>
    </row>
    <row r="13" spans="1:6">
      <c r="A13" s="812" t="s">
        <v>460</v>
      </c>
      <c r="B13" s="812"/>
      <c r="C13" s="812"/>
      <c r="D13" s="812"/>
      <c r="E13" s="812"/>
      <c r="F13" s="812"/>
    </row>
    <row r="14" spans="1:6">
      <c r="A14" s="123" t="s">
        <v>461</v>
      </c>
      <c r="B14" s="123"/>
      <c r="C14" s="123"/>
      <c r="D14" s="123"/>
      <c r="E14" s="123"/>
      <c r="F14" s="123"/>
    </row>
    <row r="15" spans="1:6">
      <c r="A15" s="123"/>
      <c r="B15" s="123"/>
      <c r="C15" s="123"/>
      <c r="D15" s="123"/>
      <c r="E15" s="123"/>
      <c r="F15" s="123"/>
    </row>
    <row r="16" spans="1:6" ht="10.9" customHeight="1" thickBot="1">
      <c r="A16" s="892"/>
      <c r="B16" s="892"/>
      <c r="C16" s="892"/>
      <c r="D16" s="892"/>
      <c r="E16" s="892"/>
      <c r="F16" s="892"/>
    </row>
    <row r="17" spans="1:7" ht="15.75" customHeight="1" thickBot="1">
      <c r="A17" s="768" t="s">
        <v>6</v>
      </c>
      <c r="B17" s="769"/>
      <c r="C17" s="769"/>
      <c r="D17" s="769"/>
      <c r="E17" s="769"/>
      <c r="F17" s="770"/>
    </row>
    <row r="18" spans="1:7" ht="15.75" customHeight="1">
      <c r="A18" s="128" t="s">
        <v>7</v>
      </c>
      <c r="B18" s="129"/>
      <c r="C18" s="129"/>
      <c r="D18" s="130"/>
      <c r="E18" s="131" t="s">
        <v>8</v>
      </c>
      <c r="F18" s="132" t="s">
        <v>9</v>
      </c>
    </row>
    <row r="19" spans="1:7" s="117" customFormat="1" ht="15.75" customHeight="1">
      <c r="A19" s="133" t="str">
        <f>A53</f>
        <v>1. Mão-de-obra</v>
      </c>
      <c r="B19" s="134"/>
      <c r="C19" s="135"/>
      <c r="D19" s="135"/>
      <c r="E19" s="136">
        <f>SUM(E20:E23)</f>
        <v>1713.231249953652</v>
      </c>
      <c r="F19" s="137">
        <f>IFERROR(E19/$E$37,0)</f>
        <v>4.2640477561464739E-2</v>
      </c>
    </row>
    <row r="20" spans="1:7" ht="15.75" customHeight="1">
      <c r="A20" s="139" t="str">
        <f>A56</f>
        <v>1.2. Motorista Turno do Dia</v>
      </c>
      <c r="B20" s="140"/>
      <c r="C20" s="141"/>
      <c r="D20" s="141"/>
      <c r="E20" s="142">
        <f>F66</f>
        <v>1562.4362499536521</v>
      </c>
      <c r="F20" s="143">
        <f t="shared" ref="F20:F36" si="0">IFERROR(E20/$E$37,0)</f>
        <v>3.8887352690519836E-2</v>
      </c>
    </row>
    <row r="21" spans="1:7" ht="15.75" customHeight="1">
      <c r="A21" s="139" t="str">
        <f>A69</f>
        <v>1.5. Vale Transporte</v>
      </c>
      <c r="B21" s="140"/>
      <c r="C21" s="141"/>
      <c r="D21" s="141"/>
      <c r="E21" s="142">
        <f>F74</f>
        <v>65.8</v>
      </c>
      <c r="F21" s="143">
        <f>IFERROR(E21/$E$37,0)</f>
        <v>1.6376910143451348E-3</v>
      </c>
    </row>
    <row r="22" spans="1:7" ht="15.75" customHeight="1">
      <c r="A22" s="139" t="str">
        <f>A76</f>
        <v>1.6. Vale-refeição (diário)</v>
      </c>
      <c r="B22" s="140"/>
      <c r="C22" s="141"/>
      <c r="D22" s="141"/>
      <c r="E22" s="142">
        <f>F79</f>
        <v>47</v>
      </c>
      <c r="F22" s="143">
        <f t="shared" si="0"/>
        <v>1.1697792959608107E-3</v>
      </c>
    </row>
    <row r="23" spans="1:7" ht="15.75" customHeight="1">
      <c r="A23" s="139" t="str">
        <f>A81</f>
        <v>1.7. Auxílio Alimentação (mensal)</v>
      </c>
      <c r="B23" s="140"/>
      <c r="C23" s="141"/>
      <c r="D23" s="141"/>
      <c r="E23" s="142">
        <f>F84</f>
        <v>37.995000000000005</v>
      </c>
      <c r="F23" s="143">
        <f t="shared" si="0"/>
        <v>9.4565456063895755E-4</v>
      </c>
    </row>
    <row r="24" spans="1:7" s="117" customFormat="1" ht="15.75" customHeight="1">
      <c r="A24" s="893" t="str">
        <f>A88</f>
        <v>2. Uniformes e Equipamentos de Proteção Individual</v>
      </c>
      <c r="B24" s="894"/>
      <c r="C24" s="894"/>
      <c r="D24" s="135"/>
      <c r="E24" s="136">
        <f>F103</f>
        <v>53.314246266666672</v>
      </c>
      <c r="F24" s="137">
        <f t="shared" si="0"/>
        <v>1.3269340736702686E-3</v>
      </c>
    </row>
    <row r="25" spans="1:7" s="117" customFormat="1" ht="15.75" customHeight="1">
      <c r="A25" s="144" t="str">
        <f>A105</f>
        <v>3. Veículos e Equipamentos</v>
      </c>
      <c r="B25" s="145"/>
      <c r="C25" s="135"/>
      <c r="D25" s="135"/>
      <c r="E25" s="136">
        <f>F181</f>
        <v>15827.166039376923</v>
      </c>
      <c r="F25" s="137">
        <f t="shared" si="0"/>
        <v>0.39392108822547212</v>
      </c>
    </row>
    <row r="26" spans="1:7" ht="15.75" customHeight="1">
      <c r="A26" s="146" t="str">
        <f>A107</f>
        <v xml:space="preserve">3.4. Conjunto com Romeu e Julieta tipo "roll -on" e containers para destino final </v>
      </c>
      <c r="B26" s="147"/>
      <c r="C26" s="141"/>
      <c r="D26" s="141"/>
      <c r="E26" s="142">
        <f>SUM(E27:E32)</f>
        <v>15827.166039376923</v>
      </c>
      <c r="F26" s="143">
        <f t="shared" si="0"/>
        <v>0.39392108822547212</v>
      </c>
    </row>
    <row r="27" spans="1:7" ht="15.75" customHeight="1">
      <c r="A27" s="146" t="str">
        <f>A109</f>
        <v>3.4.1. Depreciação</v>
      </c>
      <c r="B27" s="147"/>
      <c r="C27" s="141"/>
      <c r="D27" s="141"/>
      <c r="E27" s="142">
        <f>F123</f>
        <v>1582.2173416666672</v>
      </c>
      <c r="F27" s="143">
        <f t="shared" si="0"/>
        <v>3.9379682723230197E-2</v>
      </c>
    </row>
    <row r="28" spans="1:7" ht="15.75" customHeight="1">
      <c r="A28" s="146" t="str">
        <f>A125</f>
        <v>3.4.2. Remuneração do Capital</v>
      </c>
      <c r="B28" s="147"/>
      <c r="C28" s="141"/>
      <c r="D28" s="141"/>
      <c r="E28" s="142">
        <f>F139</f>
        <v>2401.6447414166673</v>
      </c>
      <c r="F28" s="143">
        <f t="shared" si="0"/>
        <v>5.9774346697071754E-2</v>
      </c>
    </row>
    <row r="29" spans="1:7" ht="15.75" customHeight="1">
      <c r="A29" s="146" t="str">
        <f>A141</f>
        <v>3.4.3. Impostos e Seguros</v>
      </c>
      <c r="B29" s="147"/>
      <c r="C29" s="141"/>
      <c r="D29" s="141"/>
      <c r="E29" s="142">
        <f>F147</f>
        <v>772.86241641666663</v>
      </c>
      <c r="F29" s="143">
        <f>IFERROR(E29/$E$37,0)</f>
        <v>1.9235711773414026E-2</v>
      </c>
    </row>
    <row r="30" spans="1:7" ht="15.75" customHeight="1">
      <c r="A30" s="146" t="str">
        <f>A149</f>
        <v>3.4.4. Consumos</v>
      </c>
      <c r="B30" s="147"/>
      <c r="C30" s="141"/>
      <c r="D30" s="141"/>
      <c r="E30" s="142">
        <f>F165</f>
        <v>8163.3462499999996</v>
      </c>
      <c r="F30" s="143">
        <f t="shared" si="0"/>
        <v>0.20317688146828347</v>
      </c>
    </row>
    <row r="31" spans="1:7" ht="15.75" customHeight="1">
      <c r="A31" s="146" t="str">
        <f>A167</f>
        <v>3.4.5. Manutenção</v>
      </c>
      <c r="B31" s="147"/>
      <c r="C31" s="141"/>
      <c r="D31" s="141"/>
      <c r="E31" s="142">
        <f>F170</f>
        <v>2340.3450000000003</v>
      </c>
      <c r="F31" s="143">
        <f t="shared" si="0"/>
        <v>5.8248662263944762E-2</v>
      </c>
      <c r="G31" s="148"/>
    </row>
    <row r="32" spans="1:7" ht="15.75" customHeight="1">
      <c r="A32" s="146" t="str">
        <f>A171</f>
        <v>3.4.6. Pneus</v>
      </c>
      <c r="B32" s="147"/>
      <c r="C32" s="141"/>
      <c r="D32" s="141"/>
      <c r="E32" s="142">
        <f>F178</f>
        <v>566.75028987692303</v>
      </c>
      <c r="F32" s="143">
        <f t="shared" si="0"/>
        <v>1.4105803299527923E-2</v>
      </c>
    </row>
    <row r="33" spans="1:7" s="117" customFormat="1" ht="15.75" customHeight="1">
      <c r="A33" s="144" t="str">
        <f>A183</f>
        <v>4. Ferramentas e Materiais de Consumo</v>
      </c>
      <c r="B33" s="145"/>
      <c r="C33" s="135"/>
      <c r="D33" s="135"/>
      <c r="E33" s="136">
        <f>F190</f>
        <v>8.3606691315294004</v>
      </c>
      <c r="F33" s="137">
        <f>IFERROR(E33/$E$37,0)</f>
        <v>2.080880351157818E-4</v>
      </c>
    </row>
    <row r="34" spans="1:7" s="117" customFormat="1" ht="15.75" customHeight="1">
      <c r="A34" s="144" t="str">
        <f>A192</f>
        <v>5. Monitoramento da Frota</v>
      </c>
      <c r="B34" s="145"/>
      <c r="C34" s="135"/>
      <c r="D34" s="135"/>
      <c r="E34" s="136">
        <f>F201</f>
        <v>27.229750000000003</v>
      </c>
      <c r="F34" s="137">
        <f t="shared" si="0"/>
        <v>6.7771910179125297E-4</v>
      </c>
    </row>
    <row r="35" spans="1:7" s="117" customFormat="1" ht="15.75" customHeight="1">
      <c r="A35" s="144" t="str">
        <f>A203</f>
        <v>6. Deposição no Aterro</v>
      </c>
      <c r="B35" s="145"/>
      <c r="C35" s="135"/>
      <c r="D35" s="135"/>
      <c r="E35" s="149">
        <f>F207</f>
        <v>17902.133333333335</v>
      </c>
      <c r="F35" s="137">
        <f t="shared" si="0"/>
        <v>0.44556478567794106</v>
      </c>
    </row>
    <row r="36" spans="1:7" s="117" customFormat="1" ht="15.75" customHeight="1" thickBot="1">
      <c r="A36" s="144" t="str">
        <f>A211</f>
        <v>7. Benefícios e Despesas Indiretas - BDI</v>
      </c>
      <c r="B36" s="145"/>
      <c r="C36" s="135"/>
      <c r="D36" s="135"/>
      <c r="E36" s="150">
        <f>F218</f>
        <v>4647.0839952665028</v>
      </c>
      <c r="F36" s="137">
        <f t="shared" si="0"/>
        <v>0.1156609073245447</v>
      </c>
    </row>
    <row r="37" spans="1:7" ht="15.75" customHeight="1" thickBot="1">
      <c r="A37" s="151" t="s">
        <v>225</v>
      </c>
      <c r="B37" s="152"/>
      <c r="C37" s="153"/>
      <c r="D37" s="153"/>
      <c r="E37" s="154">
        <f>E19+E24+E25+E33+E34+E36+E35</f>
        <v>40178.519283328613</v>
      </c>
      <c r="F37" s="155">
        <f>F19+F25+F33+F34+F35+F36</f>
        <v>0.99867306592632965</v>
      </c>
      <c r="G37" s="156"/>
    </row>
    <row r="38" spans="1:7" ht="15.75" customHeight="1">
      <c r="A38" s="157"/>
      <c r="B38" s="158"/>
      <c r="C38" s="159"/>
      <c r="D38" s="159"/>
      <c r="E38" s="160"/>
      <c r="F38" s="161"/>
    </row>
    <row r="39" spans="1:7" ht="15.75" customHeight="1">
      <c r="A39" s="895" t="s">
        <v>226</v>
      </c>
      <c r="B39" s="895"/>
      <c r="C39" s="895"/>
      <c r="D39" s="895"/>
      <c r="E39" s="162">
        <f>D214+E214</f>
        <v>22276.385949995267</v>
      </c>
      <c r="F39" s="163">
        <f>E39/E37</f>
        <v>0.55443521432205867</v>
      </c>
    </row>
    <row r="40" spans="1:7">
      <c r="A40" s="896" t="s">
        <v>227</v>
      </c>
      <c r="B40" s="896"/>
      <c r="C40" s="896"/>
      <c r="D40" s="896"/>
      <c r="E40" s="162">
        <f>F207+E215</f>
        <v>17902.133333333335</v>
      </c>
      <c r="F40" s="163">
        <f>E40/E37</f>
        <v>0.44556478567794106</v>
      </c>
    </row>
    <row r="42" spans="1:7" ht="15" customHeight="1" thickBot="1">
      <c r="A42" s="897" t="s">
        <v>37</v>
      </c>
      <c r="B42" s="898"/>
      <c r="C42" s="898"/>
      <c r="D42" s="898"/>
      <c r="E42" s="899"/>
    </row>
    <row r="43" spans="1:7" ht="15" customHeight="1">
      <c r="A43" s="900" t="s">
        <v>38</v>
      </c>
      <c r="B43" s="901"/>
      <c r="C43" s="901"/>
      <c r="D43" s="901"/>
      <c r="E43" s="164" t="s">
        <v>39</v>
      </c>
    </row>
    <row r="44" spans="1:7" ht="15" customHeight="1">
      <c r="A44" s="165" t="str">
        <f>+A56</f>
        <v>1.2. Motorista Turno do Dia</v>
      </c>
      <c r="B44" s="166"/>
      <c r="C44" s="166"/>
      <c r="D44" s="167"/>
      <c r="E44" s="168">
        <f>C65</f>
        <v>1</v>
      </c>
    </row>
    <row r="45" spans="1:7" ht="15" customHeight="1">
      <c r="A45" s="169" t="s">
        <v>171</v>
      </c>
      <c r="B45" s="170"/>
      <c r="C45" s="170"/>
      <c r="D45" s="167"/>
      <c r="E45" s="171">
        <f>SUM(E44:E44)</f>
        <v>1</v>
      </c>
    </row>
    <row r="46" spans="1:7" ht="15" customHeight="1">
      <c r="A46" s="169"/>
      <c r="B46" s="170"/>
      <c r="C46" s="166"/>
      <c r="D46" s="166"/>
      <c r="E46" s="172"/>
    </row>
    <row r="47" spans="1:7" ht="15" customHeight="1">
      <c r="A47" s="902" t="s">
        <v>41</v>
      </c>
      <c r="B47" s="903"/>
      <c r="C47" s="903"/>
      <c r="D47" s="903"/>
      <c r="E47" s="173" t="s">
        <v>39</v>
      </c>
      <c r="F47" s="120"/>
    </row>
    <row r="48" spans="1:7" ht="15" customHeight="1" thickBot="1">
      <c r="A48" s="174" t="str">
        <f>+A107</f>
        <v xml:space="preserve">3.4. Conjunto com Romeu e Julieta tipo "roll -on" e containers para destino final </v>
      </c>
      <c r="B48" s="175"/>
      <c r="C48" s="175"/>
      <c r="D48" s="176"/>
      <c r="E48" s="177">
        <f>C122</f>
        <v>1</v>
      </c>
      <c r="F48" s="120"/>
    </row>
    <row r="49" spans="1:10" ht="15" customHeight="1">
      <c r="A49" s="178"/>
      <c r="B49" s="178"/>
      <c r="C49" s="178"/>
      <c r="D49" s="120"/>
      <c r="E49" s="179"/>
      <c r="F49" s="120"/>
    </row>
    <row r="50" spans="1:10" ht="16.5" thickBot="1">
      <c r="A50" s="178"/>
      <c r="B50" s="178"/>
      <c r="C50" s="178"/>
      <c r="D50" s="120"/>
      <c r="E50" s="180"/>
      <c r="F50" s="120"/>
    </row>
    <row r="51" spans="1:10" s="117" customFormat="1" ht="15.75" customHeight="1" thickBot="1">
      <c r="A51" s="181" t="s">
        <v>167</v>
      </c>
      <c r="B51" s="182">
        <v>0.25330000000000003</v>
      </c>
      <c r="C51" s="183"/>
      <c r="D51" s="184"/>
      <c r="E51" s="185"/>
      <c r="F51" s="184"/>
    </row>
    <row r="52" spans="1:10" ht="15.75" customHeight="1">
      <c r="A52" s="904"/>
      <c r="B52" s="904"/>
      <c r="C52" s="904"/>
      <c r="D52" s="904"/>
      <c r="E52" s="904"/>
      <c r="F52" s="904"/>
    </row>
    <row r="53" spans="1:10" ht="13.15" customHeight="1">
      <c r="A53" s="905" t="s">
        <v>43</v>
      </c>
      <c r="B53" s="905"/>
      <c r="C53" s="905"/>
      <c r="D53" s="905"/>
      <c r="E53" s="905"/>
      <c r="F53" s="905"/>
    </row>
    <row r="54" spans="1:10" ht="11.25" customHeight="1">
      <c r="A54" s="750"/>
      <c r="B54" s="750"/>
      <c r="C54" s="750"/>
      <c r="D54" s="750"/>
      <c r="E54" s="750"/>
      <c r="F54" s="750"/>
    </row>
    <row r="55" spans="1:10" s="118" customFormat="1" ht="11.25" customHeight="1">
      <c r="A55" s="750"/>
      <c r="B55" s="750"/>
      <c r="C55" s="750"/>
      <c r="D55" s="750"/>
      <c r="E55" s="750"/>
      <c r="F55" s="750"/>
      <c r="G55" s="122"/>
      <c r="H55" s="122"/>
      <c r="I55" s="122"/>
    </row>
    <row r="56" spans="1:10" s="118" customFormat="1" ht="16.5" thickBot="1">
      <c r="A56" s="906" t="s">
        <v>59</v>
      </c>
      <c r="B56" s="906"/>
      <c r="C56" s="906"/>
      <c r="D56" s="906"/>
      <c r="E56" s="906"/>
      <c r="F56" s="906"/>
      <c r="G56" s="122"/>
      <c r="H56" s="122"/>
      <c r="I56" s="122"/>
    </row>
    <row r="57" spans="1:10" ht="13.15" customHeight="1" thickBot="1">
      <c r="A57" s="187" t="s">
        <v>45</v>
      </c>
      <c r="B57" s="188" t="s">
        <v>46</v>
      </c>
      <c r="C57" s="188" t="s">
        <v>39</v>
      </c>
      <c r="D57" s="189" t="s">
        <v>47</v>
      </c>
      <c r="E57" s="189" t="s">
        <v>48</v>
      </c>
      <c r="F57" s="190" t="s">
        <v>49</v>
      </c>
    </row>
    <row r="58" spans="1:10">
      <c r="A58" s="360" t="s">
        <v>200</v>
      </c>
      <c r="B58" s="192" t="s">
        <v>50</v>
      </c>
      <c r="C58" s="192">
        <v>1</v>
      </c>
      <c r="D58" s="193">
        <v>2967.35</v>
      </c>
      <c r="E58" s="194">
        <f>C58*D58</f>
        <v>2967.35</v>
      </c>
      <c r="F58" s="195"/>
      <c r="G58" s="196"/>
      <c r="H58" s="197"/>
      <c r="I58" s="198"/>
      <c r="J58" s="198"/>
    </row>
    <row r="59" spans="1:10">
      <c r="A59" s="360" t="s">
        <v>201</v>
      </c>
      <c r="B59" s="192" t="s">
        <v>50</v>
      </c>
      <c r="C59" s="192">
        <v>1</v>
      </c>
      <c r="D59" s="193">
        <v>1621</v>
      </c>
      <c r="E59" s="194"/>
      <c r="F59" s="195"/>
      <c r="G59" s="196"/>
      <c r="H59" s="197"/>
      <c r="I59" s="198"/>
      <c r="J59" s="198"/>
    </row>
    <row r="60" spans="1:10">
      <c r="A60" s="199" t="s">
        <v>60</v>
      </c>
      <c r="B60" s="200"/>
      <c r="C60" s="201">
        <v>1</v>
      </c>
      <c r="D60" s="202"/>
      <c r="E60" s="202"/>
      <c r="F60" s="195"/>
    </row>
    <row r="61" spans="1:10">
      <c r="A61" s="199" t="s">
        <v>52</v>
      </c>
      <c r="B61" s="200" t="s">
        <v>9</v>
      </c>
      <c r="C61" s="203">
        <v>40</v>
      </c>
      <c r="D61" s="204">
        <f>IF(C60=2,SUM(E58:E59),IF(C60=1,(SUM(E58:E59))*D59/D58,0))</f>
        <v>1621</v>
      </c>
      <c r="E61" s="202">
        <f>C61*D61/100</f>
        <v>648.4</v>
      </c>
      <c r="F61" s="195"/>
    </row>
    <row r="62" spans="1:10" s="117" customFormat="1">
      <c r="A62" s="907" t="s">
        <v>53</v>
      </c>
      <c r="B62" s="908"/>
      <c r="C62" s="908"/>
      <c r="D62" s="909"/>
      <c r="E62" s="205">
        <f>SUM(E58:E61)</f>
        <v>3615.75</v>
      </c>
      <c r="F62" s="206"/>
      <c r="G62" s="122"/>
    </row>
    <row r="63" spans="1:10">
      <c r="A63" s="199" t="s">
        <v>54</v>
      </c>
      <c r="B63" s="200" t="s">
        <v>9</v>
      </c>
      <c r="C63" s="207">
        <f>'2.Encargos Sociais'!$C$35*100</f>
        <v>70.595951999999997</v>
      </c>
      <c r="D63" s="202">
        <f>E62</f>
        <v>3615.75</v>
      </c>
      <c r="E63" s="202">
        <f>D63*C63/100</f>
        <v>2552.5731344400001</v>
      </c>
      <c r="F63" s="195"/>
    </row>
    <row r="64" spans="1:10" s="117" customFormat="1">
      <c r="A64" s="907" t="s">
        <v>61</v>
      </c>
      <c r="B64" s="908"/>
      <c r="C64" s="908"/>
      <c r="D64" s="909"/>
      <c r="E64" s="205">
        <f>E62+E63</f>
        <v>6168.3231344400001</v>
      </c>
      <c r="F64" s="206"/>
      <c r="G64" s="122"/>
    </row>
    <row r="65" spans="1:10">
      <c r="A65" s="208" t="s">
        <v>56</v>
      </c>
      <c r="B65" s="209" t="s">
        <v>57</v>
      </c>
      <c r="C65" s="210">
        <v>1</v>
      </c>
      <c r="D65" s="202">
        <f>E64</f>
        <v>6168.3231344400001</v>
      </c>
      <c r="E65" s="202">
        <f>C65*D65</f>
        <v>6168.3231344400001</v>
      </c>
      <c r="F65" s="195"/>
    </row>
    <row r="66" spans="1:10" ht="16.5" thickBot="1">
      <c r="A66" s="910" t="str">
        <f>F57</f>
        <v>Total (R$)</v>
      </c>
      <c r="B66" s="911"/>
      <c r="C66" s="911"/>
      <c r="D66" s="211" t="s">
        <v>58</v>
      </c>
      <c r="E66" s="212">
        <f>$B$51</f>
        <v>0.25330000000000003</v>
      </c>
      <c r="F66" s="213">
        <f>E65*E66</f>
        <v>1562.4362499536521</v>
      </c>
    </row>
    <row r="67" spans="1:10" ht="11.25" customHeight="1">
      <c r="A67" s="750"/>
      <c r="B67" s="750"/>
      <c r="C67" s="750"/>
      <c r="D67" s="750"/>
      <c r="E67" s="750"/>
      <c r="F67" s="750"/>
    </row>
    <row r="68" spans="1:10" ht="11.25" customHeight="1">
      <c r="A68" s="750"/>
      <c r="B68" s="750"/>
      <c r="C68" s="750"/>
      <c r="D68" s="750"/>
      <c r="E68" s="750"/>
      <c r="F68" s="750"/>
    </row>
    <row r="69" spans="1:10" ht="16.5" thickBot="1">
      <c r="A69" s="906" t="s">
        <v>62</v>
      </c>
      <c r="B69" s="906"/>
      <c r="C69" s="906"/>
      <c r="D69" s="906"/>
      <c r="E69" s="906"/>
      <c r="F69" s="906"/>
    </row>
    <row r="70" spans="1:10" ht="16.5" thickBot="1">
      <c r="A70" s="187" t="s">
        <v>45</v>
      </c>
      <c r="B70" s="188" t="s">
        <v>46</v>
      </c>
      <c r="C70" s="188" t="s">
        <v>39</v>
      </c>
      <c r="D70" s="189" t="s">
        <v>47</v>
      </c>
      <c r="E70" s="189" t="s">
        <v>48</v>
      </c>
      <c r="F70" s="190" t="s">
        <v>49</v>
      </c>
      <c r="G70" s="196"/>
    </row>
    <row r="71" spans="1:10">
      <c r="A71" s="199" t="s">
        <v>63</v>
      </c>
      <c r="B71" s="200" t="s">
        <v>51</v>
      </c>
      <c r="C71" s="214">
        <v>1</v>
      </c>
      <c r="D71" s="215">
        <v>4.7</v>
      </c>
      <c r="E71" s="216"/>
      <c r="F71" s="217"/>
      <c r="G71" s="196"/>
      <c r="H71" s="197"/>
      <c r="I71" s="198"/>
      <c r="J71" s="198"/>
    </row>
    <row r="72" spans="1:10">
      <c r="A72" s="199" t="s">
        <v>64</v>
      </c>
      <c r="B72" s="200" t="s">
        <v>65</v>
      </c>
      <c r="C72" s="218">
        <v>7</v>
      </c>
      <c r="D72" s="202"/>
      <c r="E72" s="216"/>
      <c r="F72" s="219"/>
      <c r="G72" s="220"/>
    </row>
    <row r="73" spans="1:10">
      <c r="A73" s="191" t="s">
        <v>68</v>
      </c>
      <c r="B73" s="192" t="s">
        <v>67</v>
      </c>
      <c r="C73" s="221">
        <f>$C$72*2*(C65)</f>
        <v>14</v>
      </c>
      <c r="D73" s="194">
        <f>SUM(D71)</f>
        <v>4.7</v>
      </c>
      <c r="E73" s="222">
        <f>IFERROR(C73*D73,"-")</f>
        <v>65.8</v>
      </c>
      <c r="F73" s="219"/>
    </row>
    <row r="74" spans="1:10" ht="16.5" thickBot="1">
      <c r="A74" s="867" t="str">
        <f>F70</f>
        <v>Total (R$)</v>
      </c>
      <c r="B74" s="870"/>
      <c r="C74" s="870"/>
      <c r="D74" s="870"/>
      <c r="E74" s="912"/>
      <c r="F74" s="223">
        <f>SUM(E73:E73)</f>
        <v>65.8</v>
      </c>
    </row>
    <row r="75" spans="1:10" ht="11.25" customHeight="1">
      <c r="A75" s="750"/>
      <c r="B75" s="750"/>
      <c r="C75" s="750"/>
      <c r="D75" s="750"/>
      <c r="E75" s="750"/>
      <c r="F75" s="750"/>
      <c r="G75" s="117"/>
    </row>
    <row r="76" spans="1:10" ht="16.5" thickBot="1">
      <c r="A76" s="906" t="s">
        <v>69</v>
      </c>
      <c r="B76" s="906"/>
      <c r="C76" s="906"/>
      <c r="D76" s="906"/>
      <c r="E76" s="906"/>
      <c r="F76" s="906"/>
    </row>
    <row r="77" spans="1:10" ht="16.5" thickBot="1">
      <c r="A77" s="187" t="s">
        <v>45</v>
      </c>
      <c r="B77" s="188" t="s">
        <v>46</v>
      </c>
      <c r="C77" s="188" t="s">
        <v>39</v>
      </c>
      <c r="D77" s="189" t="s">
        <v>47</v>
      </c>
      <c r="E77" s="189" t="s">
        <v>48</v>
      </c>
      <c r="F77" s="190" t="s">
        <v>49</v>
      </c>
      <c r="G77" s="117"/>
    </row>
    <row r="78" spans="1:10">
      <c r="A78" s="199" t="str">
        <f>+A73</f>
        <v>Motorista</v>
      </c>
      <c r="B78" s="200" t="s">
        <v>70</v>
      </c>
      <c r="C78" s="224">
        <v>2</v>
      </c>
      <c r="D78" s="225">
        <v>23.5</v>
      </c>
      <c r="E78" s="226">
        <f>C78*D78</f>
        <v>47</v>
      </c>
      <c r="F78" s="227"/>
      <c r="G78" s="196"/>
      <c r="H78" s="197"/>
      <c r="I78" s="198"/>
      <c r="J78" s="198"/>
    </row>
    <row r="79" spans="1:10" ht="16.5" thickBot="1">
      <c r="A79" s="867" t="str">
        <f>F77</f>
        <v>Total (R$)</v>
      </c>
      <c r="B79" s="870"/>
      <c r="C79" s="870"/>
      <c r="D79" s="870"/>
      <c r="E79" s="912"/>
      <c r="F79" s="223">
        <f>SUM(E78:E78)</f>
        <v>47</v>
      </c>
      <c r="H79" s="197"/>
      <c r="I79" s="198"/>
      <c r="J79" s="198"/>
    </row>
    <row r="80" spans="1:10">
      <c r="A80" s="750"/>
      <c r="B80" s="750"/>
      <c r="C80" s="750"/>
      <c r="D80" s="750"/>
      <c r="E80" s="750"/>
      <c r="F80" s="750"/>
      <c r="H80" s="197"/>
      <c r="I80" s="198"/>
      <c r="J80" s="198"/>
    </row>
    <row r="81" spans="1:10" ht="16.5" thickBot="1">
      <c r="A81" s="906" t="s">
        <v>71</v>
      </c>
      <c r="B81" s="906"/>
      <c r="C81" s="906"/>
      <c r="D81" s="906"/>
      <c r="E81" s="906"/>
      <c r="F81" s="906"/>
    </row>
    <row r="82" spans="1:10" ht="16.5" thickBot="1">
      <c r="A82" s="187" t="s">
        <v>45</v>
      </c>
      <c r="B82" s="188" t="s">
        <v>46</v>
      </c>
      <c r="C82" s="188" t="s">
        <v>39</v>
      </c>
      <c r="D82" s="189" t="s">
        <v>47</v>
      </c>
      <c r="E82" s="189" t="s">
        <v>48</v>
      </c>
      <c r="F82" s="190" t="s">
        <v>49</v>
      </c>
      <c r="G82" s="196"/>
    </row>
    <row r="83" spans="1:10">
      <c r="A83" s="199" t="str">
        <f>+A78</f>
        <v>Motorista</v>
      </c>
      <c r="B83" s="200" t="s">
        <v>70</v>
      </c>
      <c r="C83" s="224">
        <f>E44</f>
        <v>1</v>
      </c>
      <c r="D83" s="225">
        <v>150</v>
      </c>
      <c r="E83" s="226">
        <f>C83*D83</f>
        <v>150</v>
      </c>
      <c r="F83" s="227"/>
      <c r="G83" s="196"/>
      <c r="H83" s="197"/>
      <c r="I83" s="198"/>
      <c r="J83" s="198"/>
    </row>
    <row r="84" spans="1:10" ht="16.5" thickBot="1">
      <c r="A84" s="867" t="str">
        <f>F82</f>
        <v>Total (R$)</v>
      </c>
      <c r="B84" s="870"/>
      <c r="C84" s="912"/>
      <c r="D84" s="229" t="s">
        <v>58</v>
      </c>
      <c r="E84" s="230">
        <f>$B$51</f>
        <v>0.25330000000000003</v>
      </c>
      <c r="F84" s="223">
        <f>SUM(E83:E83)*E84</f>
        <v>37.995000000000005</v>
      </c>
    </row>
    <row r="85" spans="1:10" ht="16.5" thickBot="1"/>
    <row r="86" spans="1:10" ht="16.5" thickBot="1">
      <c r="A86" s="231" t="s">
        <v>72</v>
      </c>
      <c r="B86" s="232"/>
      <c r="C86" s="232"/>
      <c r="D86" s="153"/>
      <c r="E86" s="153"/>
      <c r="F86" s="233">
        <f>F84+F79+F74+F66</f>
        <v>1713.2312499536522</v>
      </c>
      <c r="H86" s="197"/>
      <c r="I86" s="198"/>
      <c r="J86" s="198"/>
    </row>
    <row r="87" spans="1:10">
      <c r="A87" s="913"/>
      <c r="B87" s="913"/>
      <c r="C87" s="913"/>
      <c r="D87" s="913"/>
      <c r="E87" s="913"/>
      <c r="F87" s="913"/>
    </row>
    <row r="88" spans="1:10">
      <c r="A88" s="905" t="s">
        <v>73</v>
      </c>
      <c r="B88" s="905"/>
      <c r="C88" s="905"/>
      <c r="D88" s="905"/>
      <c r="E88" s="905"/>
      <c r="F88" s="905"/>
    </row>
    <row r="89" spans="1:10" ht="11.25" customHeight="1">
      <c r="A89" s="750"/>
      <c r="B89" s="750"/>
      <c r="C89" s="750"/>
      <c r="D89" s="750"/>
      <c r="E89" s="750"/>
      <c r="F89" s="750"/>
    </row>
    <row r="90" spans="1:10" ht="13.9" customHeight="1">
      <c r="A90" s="914" t="s">
        <v>173</v>
      </c>
      <c r="B90" s="914"/>
      <c r="C90" s="914"/>
      <c r="D90" s="914"/>
      <c r="E90" s="914"/>
      <c r="F90" s="914"/>
      <c r="G90" s="196"/>
    </row>
    <row r="91" spans="1:10" ht="11.25" customHeight="1" thickBot="1">
      <c r="A91" s="892"/>
      <c r="B91" s="892"/>
      <c r="C91" s="892"/>
      <c r="D91" s="892"/>
      <c r="E91" s="892"/>
      <c r="F91" s="892"/>
      <c r="G91" s="196"/>
    </row>
    <row r="92" spans="1:10" ht="30.75" thickBot="1">
      <c r="A92" s="187" t="s">
        <v>45</v>
      </c>
      <c r="B92" s="188" t="s">
        <v>46</v>
      </c>
      <c r="C92" s="234" t="s">
        <v>75</v>
      </c>
      <c r="D92" s="189" t="s">
        <v>47</v>
      </c>
      <c r="E92" s="189" t="s">
        <v>48</v>
      </c>
      <c r="F92" s="190" t="s">
        <v>49</v>
      </c>
      <c r="G92" s="196"/>
    </row>
    <row r="93" spans="1:10">
      <c r="A93" s="191" t="s">
        <v>408</v>
      </c>
      <c r="B93" s="192" t="s">
        <v>70</v>
      </c>
      <c r="C93" s="735">
        <v>12</v>
      </c>
      <c r="D93" s="193">
        <f>AVERAGE(285,285,160,285,159.9)</f>
        <v>234.98000000000002</v>
      </c>
      <c r="E93" s="194">
        <f>IFERROR(D93/C93,0)</f>
        <v>19.581666666666667</v>
      </c>
      <c r="F93" s="217"/>
      <c r="G93" s="727"/>
      <c r="H93" s="197"/>
      <c r="I93" s="198"/>
      <c r="J93" s="198"/>
    </row>
    <row r="94" spans="1:10">
      <c r="A94" s="199" t="s">
        <v>412</v>
      </c>
      <c r="B94" s="200" t="s">
        <v>70</v>
      </c>
      <c r="C94" s="235">
        <v>6</v>
      </c>
      <c r="D94" s="193">
        <f>AVERAGE(74,68.3,59.9,74.9,65.15)</f>
        <v>68.45</v>
      </c>
      <c r="E94" s="194">
        <f t="shared" ref="E94:E98" si="1">IFERROR(D94/C94,0)</f>
        <v>11.408333333333333</v>
      </c>
      <c r="F94" s="219"/>
      <c r="G94" s="727"/>
      <c r="H94" s="197"/>
      <c r="I94" s="198"/>
      <c r="J94" s="198"/>
    </row>
    <row r="95" spans="1:10">
      <c r="A95" s="199" t="s">
        <v>413</v>
      </c>
      <c r="B95" s="200" t="s">
        <v>70</v>
      </c>
      <c r="C95" s="235">
        <v>3</v>
      </c>
      <c r="D95" s="193">
        <f>AVERAGE(43.9,17.6,43.9,43.9,28.88,43.9,43.9,43.9)</f>
        <v>38.734999999999999</v>
      </c>
      <c r="E95" s="194">
        <f t="shared" si="1"/>
        <v>12.911666666666667</v>
      </c>
      <c r="F95" s="219"/>
      <c r="G95" s="727"/>
      <c r="H95" s="197"/>
      <c r="I95" s="198"/>
      <c r="J95" s="198"/>
    </row>
    <row r="96" spans="1:10">
      <c r="A96" s="199" t="s">
        <v>76</v>
      </c>
      <c r="B96" s="200" t="s">
        <v>77</v>
      </c>
      <c r="C96" s="235">
        <v>3</v>
      </c>
      <c r="D96" s="193">
        <f>AVERAGE(55.97,52.16,55.97,145.23,119.05)</f>
        <v>85.676000000000002</v>
      </c>
      <c r="E96" s="194">
        <f t="shared" si="1"/>
        <v>28.558666666666667</v>
      </c>
      <c r="F96" s="219"/>
      <c r="G96" s="727"/>
      <c r="H96" s="197"/>
      <c r="I96" s="198"/>
      <c r="J96" s="198"/>
    </row>
    <row r="97" spans="1:10">
      <c r="A97" s="199" t="s">
        <v>409</v>
      </c>
      <c r="B97" s="200" t="s">
        <v>70</v>
      </c>
      <c r="C97" s="235">
        <v>12</v>
      </c>
      <c r="D97" s="193">
        <f>AVERAGE(55,59.74,182.74,90.72,121.34)</f>
        <v>101.90800000000002</v>
      </c>
      <c r="E97" s="194">
        <f t="shared" si="1"/>
        <v>8.4923333333333346</v>
      </c>
      <c r="F97" s="219"/>
      <c r="G97" s="727"/>
      <c r="H97" s="197"/>
      <c r="I97" s="198"/>
      <c r="J97" s="198"/>
    </row>
    <row r="98" spans="1:10">
      <c r="A98" s="199" t="s">
        <v>80</v>
      </c>
      <c r="B98" s="200" t="s">
        <v>81</v>
      </c>
      <c r="C98" s="235">
        <v>1</v>
      </c>
      <c r="D98" s="193">
        <f>AVERAGE(26.98,39.68,17.24,27.83,35.9)</f>
        <v>29.526</v>
      </c>
      <c r="E98" s="194">
        <f t="shared" si="1"/>
        <v>29.526</v>
      </c>
      <c r="F98" s="219"/>
      <c r="G98" s="727"/>
      <c r="H98" s="197"/>
      <c r="I98" s="198"/>
      <c r="J98" s="198"/>
    </row>
    <row r="99" spans="1:10">
      <c r="A99" s="199" t="s">
        <v>82</v>
      </c>
      <c r="B99" s="200" t="s">
        <v>83</v>
      </c>
      <c r="C99" s="236">
        <v>1</v>
      </c>
      <c r="D99" s="193">
        <v>100</v>
      </c>
      <c r="E99" s="202">
        <f t="shared" ref="E99:E100" si="2">C99*D99</f>
        <v>100</v>
      </c>
      <c r="F99" s="219"/>
      <c r="G99" s="727"/>
      <c r="H99" s="197"/>
      <c r="I99" s="198"/>
      <c r="J99" s="198"/>
    </row>
    <row r="100" spans="1:10">
      <c r="A100" s="199" t="s">
        <v>56</v>
      </c>
      <c r="B100" s="200" t="s">
        <v>57</v>
      </c>
      <c r="C100" s="236">
        <f>E44</f>
        <v>1</v>
      </c>
      <c r="D100" s="202">
        <f>+SUM(E93:E99)</f>
        <v>210.47866666666667</v>
      </c>
      <c r="E100" s="202">
        <f t="shared" si="2"/>
        <v>210.47866666666667</v>
      </c>
      <c r="F100" s="219"/>
      <c r="G100" s="120"/>
      <c r="H100" s="197"/>
      <c r="I100" s="198"/>
      <c r="J100" s="198"/>
    </row>
    <row r="101" spans="1:10" ht="16.5" thickBot="1">
      <c r="A101" s="867" t="str">
        <f>F92</f>
        <v>Total (R$)</v>
      </c>
      <c r="B101" s="868"/>
      <c r="C101" s="869"/>
      <c r="D101" s="229" t="s">
        <v>58</v>
      </c>
      <c r="E101" s="212">
        <f>$B$51</f>
        <v>0.25330000000000003</v>
      </c>
      <c r="F101" s="213">
        <f>E100*E101</f>
        <v>53.314246266666672</v>
      </c>
      <c r="H101" s="197"/>
      <c r="I101" s="198"/>
      <c r="J101" s="198"/>
    </row>
    <row r="102" spans="1:10" ht="11.25" customHeight="1" thickBot="1">
      <c r="H102" s="197"/>
      <c r="I102" s="198"/>
      <c r="J102" s="198"/>
    </row>
    <row r="103" spans="1:10" ht="16.5" thickBot="1">
      <c r="A103" s="915" t="s">
        <v>86</v>
      </c>
      <c r="B103" s="916"/>
      <c r="C103" s="916"/>
      <c r="D103" s="916"/>
      <c r="E103" s="916"/>
      <c r="F103" s="237">
        <f>+F88+F101</f>
        <v>53.314246266666672</v>
      </c>
      <c r="H103" s="197"/>
      <c r="I103" s="198"/>
      <c r="J103" s="238"/>
    </row>
    <row r="104" spans="1:10" ht="11.25" customHeight="1">
      <c r="H104" s="197"/>
      <c r="I104" s="198"/>
      <c r="J104" s="198"/>
    </row>
    <row r="105" spans="1:10">
      <c r="A105" s="184" t="s">
        <v>87</v>
      </c>
      <c r="H105" s="197"/>
      <c r="I105" s="198"/>
      <c r="J105" s="198"/>
    </row>
    <row r="106" spans="1:10" ht="11.25" customHeight="1">
      <c r="B106" s="239"/>
      <c r="H106" s="197"/>
      <c r="I106" s="198"/>
      <c r="J106" s="198"/>
    </row>
    <row r="107" spans="1:10">
      <c r="A107" s="240" t="s">
        <v>440</v>
      </c>
    </row>
    <row r="108" spans="1:10" ht="11.25" customHeight="1">
      <c r="G108" s="196"/>
    </row>
    <row r="109" spans="1:10" ht="16.5" thickBot="1">
      <c r="A109" s="241" t="s">
        <v>228</v>
      </c>
      <c r="G109" s="196"/>
    </row>
    <row r="110" spans="1:10" ht="16.5" thickBot="1">
      <c r="A110" s="187" t="s">
        <v>45</v>
      </c>
      <c r="B110" s="188" t="s">
        <v>46</v>
      </c>
      <c r="C110" s="188" t="s">
        <v>39</v>
      </c>
      <c r="D110" s="189" t="s">
        <v>47</v>
      </c>
      <c r="E110" s="189" t="s">
        <v>48</v>
      </c>
      <c r="F110" s="190" t="s">
        <v>49</v>
      </c>
      <c r="G110" s="196"/>
    </row>
    <row r="111" spans="1:10">
      <c r="A111" s="191" t="s">
        <v>229</v>
      </c>
      <c r="B111" s="192" t="s">
        <v>70</v>
      </c>
      <c r="C111" s="192">
        <v>1</v>
      </c>
      <c r="D111" s="193">
        <v>800000</v>
      </c>
      <c r="E111" s="222">
        <f>C111*D111</f>
        <v>800000</v>
      </c>
      <c r="F111" s="217"/>
      <c r="G111" s="196"/>
      <c r="H111" s="197"/>
      <c r="I111" s="198"/>
      <c r="J111" s="198"/>
    </row>
    <row r="112" spans="1:10">
      <c r="A112" s="199" t="s">
        <v>230</v>
      </c>
      <c r="B112" s="200" t="s">
        <v>91</v>
      </c>
      <c r="C112" s="203">
        <v>10</v>
      </c>
      <c r="D112" s="204"/>
      <c r="E112" s="216"/>
      <c r="F112" s="219"/>
      <c r="G112" s="196"/>
    </row>
    <row r="113" spans="1:10">
      <c r="A113" s="199" t="s">
        <v>92</v>
      </c>
      <c r="B113" s="200" t="s">
        <v>91</v>
      </c>
      <c r="C113" s="203">
        <v>0</v>
      </c>
      <c r="D113" s="202"/>
      <c r="E113" s="216"/>
      <c r="F113" s="242"/>
      <c r="G113" s="196"/>
      <c r="H113" s="243"/>
      <c r="I113" s="243"/>
      <c r="J113" s="243"/>
    </row>
    <row r="114" spans="1:10">
      <c r="A114" s="199" t="s">
        <v>231</v>
      </c>
      <c r="B114" s="200" t="s">
        <v>9</v>
      </c>
      <c r="C114" s="207">
        <f>IFERROR(VLOOKUP(C112,'5. Depreciação'!A4:B18,2,FALSE),0)</f>
        <v>65.180000000000007</v>
      </c>
      <c r="D114" s="202">
        <f>E111</f>
        <v>800000</v>
      </c>
      <c r="E114" s="216">
        <f>C114*D114/100</f>
        <v>521440.00000000006</v>
      </c>
      <c r="F114" s="219"/>
      <c r="G114" s="196"/>
    </row>
    <row r="115" spans="1:10">
      <c r="A115" s="700" t="s">
        <v>232</v>
      </c>
      <c r="B115" s="246" t="s">
        <v>50</v>
      </c>
      <c r="C115" s="246">
        <f>C112*12</f>
        <v>120</v>
      </c>
      <c r="D115" s="205">
        <f>IF(C113&lt;=C112,E114,0)</f>
        <v>521440.00000000006</v>
      </c>
      <c r="E115" s="205">
        <f>IFERROR(D115/C115,0)</f>
        <v>4345.3333333333339</v>
      </c>
      <c r="F115" s="219"/>
      <c r="G115" s="196"/>
    </row>
    <row r="116" spans="1:10">
      <c r="A116" s="167" t="s">
        <v>233</v>
      </c>
      <c r="B116" s="200" t="s">
        <v>70</v>
      </c>
      <c r="C116" s="200">
        <v>1</v>
      </c>
      <c r="D116" s="225">
        <v>350000</v>
      </c>
      <c r="E116" s="202">
        <f>C116*D116</f>
        <v>350000</v>
      </c>
      <c r="F116" s="219"/>
      <c r="G116" s="196"/>
      <c r="H116" s="197"/>
      <c r="I116" s="198"/>
      <c r="J116" s="198"/>
    </row>
    <row r="117" spans="1:10">
      <c r="A117" s="167" t="s">
        <v>234</v>
      </c>
      <c r="B117" s="200" t="s">
        <v>91</v>
      </c>
      <c r="C117" s="203">
        <v>10</v>
      </c>
      <c r="D117" s="202"/>
      <c r="E117" s="202"/>
      <c r="F117" s="219"/>
      <c r="G117" s="196"/>
      <c r="H117" s="197"/>
      <c r="I117" s="198"/>
      <c r="J117" s="198"/>
    </row>
    <row r="118" spans="1:10">
      <c r="A118" s="199" t="s">
        <v>235</v>
      </c>
      <c r="B118" s="200" t="s">
        <v>91</v>
      </c>
      <c r="C118" s="203">
        <v>0</v>
      </c>
      <c r="D118" s="202"/>
      <c r="E118" s="216"/>
      <c r="F118" s="242"/>
      <c r="G118" s="196"/>
      <c r="H118" s="197"/>
      <c r="I118" s="198"/>
      <c r="J118" s="198"/>
    </row>
    <row r="119" spans="1:10">
      <c r="A119" s="199" t="s">
        <v>236</v>
      </c>
      <c r="B119" s="200" t="s">
        <v>9</v>
      </c>
      <c r="C119" s="244">
        <f>IFERROR(VLOOKUP(C117,'5. Depreciação'!A4:B18,2,FALSE),0)</f>
        <v>65.180000000000007</v>
      </c>
      <c r="D119" s="202">
        <f>E116</f>
        <v>350000</v>
      </c>
      <c r="E119" s="216">
        <f>C119*D119/100</f>
        <v>228130.00000000003</v>
      </c>
      <c r="F119" s="219"/>
      <c r="H119" s="197"/>
      <c r="I119" s="198"/>
      <c r="J119" s="198"/>
    </row>
    <row r="120" spans="1:10">
      <c r="A120" s="245" t="s">
        <v>237</v>
      </c>
      <c r="B120" s="246" t="s">
        <v>50</v>
      </c>
      <c r="C120" s="246">
        <f>C117*12</f>
        <v>120</v>
      </c>
      <c r="D120" s="205">
        <f>IF(C118&lt;=C117,E119,0)</f>
        <v>228130.00000000003</v>
      </c>
      <c r="E120" s="247">
        <f>IFERROR(D120/C120,0)</f>
        <v>1901.0833333333335</v>
      </c>
      <c r="F120" s="219"/>
    </row>
    <row r="121" spans="1:10">
      <c r="A121" s="248" t="s">
        <v>100</v>
      </c>
      <c r="B121" s="249"/>
      <c r="C121" s="249"/>
      <c r="D121" s="250"/>
      <c r="E121" s="251">
        <f>E115+E120</f>
        <v>6246.4166666666679</v>
      </c>
      <c r="F121" s="219"/>
    </row>
    <row r="122" spans="1:10">
      <c r="A122" s="245" t="s">
        <v>101</v>
      </c>
      <c r="B122" s="246" t="s">
        <v>70</v>
      </c>
      <c r="C122" s="203">
        <v>1</v>
      </c>
      <c r="D122" s="205">
        <f>E121</f>
        <v>6246.4166666666679</v>
      </c>
      <c r="E122" s="251">
        <f>C122*D122</f>
        <v>6246.4166666666679</v>
      </c>
      <c r="F122" s="219"/>
    </row>
    <row r="123" spans="1:10" ht="16.5" thickBot="1">
      <c r="A123" s="917" t="str">
        <f>F110</f>
        <v>Total (R$)</v>
      </c>
      <c r="B123" s="918"/>
      <c r="C123" s="919"/>
      <c r="D123" s="229" t="s">
        <v>58</v>
      </c>
      <c r="E123" s="230">
        <f>$B$51</f>
        <v>0.25330000000000003</v>
      </c>
      <c r="F123" s="213">
        <f>(E122*E123)</f>
        <v>1582.2173416666672</v>
      </c>
    </row>
    <row r="124" spans="1:10" ht="11.25" customHeight="1"/>
    <row r="125" spans="1:10" ht="16.5" thickBot="1">
      <c r="A125" s="241" t="s">
        <v>238</v>
      </c>
      <c r="G125" s="196"/>
    </row>
    <row r="126" spans="1:10" ht="16.5" thickBot="1">
      <c r="A126" s="187" t="s">
        <v>45</v>
      </c>
      <c r="B126" s="188" t="s">
        <v>46</v>
      </c>
      <c r="C126" s="188" t="s">
        <v>39</v>
      </c>
      <c r="D126" s="189" t="s">
        <v>47</v>
      </c>
      <c r="E126" s="189" t="s">
        <v>48</v>
      </c>
      <c r="F126" s="190" t="s">
        <v>49</v>
      </c>
      <c r="G126" s="196"/>
    </row>
    <row r="127" spans="1:10">
      <c r="A127" s="191" t="s">
        <v>229</v>
      </c>
      <c r="B127" s="192" t="s">
        <v>70</v>
      </c>
      <c r="C127" s="192">
        <v>1</v>
      </c>
      <c r="D127" s="193">
        <f>D111</f>
        <v>800000</v>
      </c>
      <c r="E127" s="222">
        <f>C127*D127</f>
        <v>800000</v>
      </c>
      <c r="F127" s="252"/>
      <c r="G127" s="196"/>
      <c r="H127" s="197"/>
      <c r="I127" s="198"/>
      <c r="J127" s="198"/>
    </row>
    <row r="128" spans="1:10">
      <c r="A128" s="199" t="s">
        <v>104</v>
      </c>
      <c r="B128" s="200" t="s">
        <v>9</v>
      </c>
      <c r="C128" s="203">
        <v>14</v>
      </c>
      <c r="D128" s="202"/>
      <c r="E128" s="216"/>
      <c r="F128" s="242"/>
      <c r="G128" s="196"/>
    </row>
    <row r="129" spans="1:10">
      <c r="A129" s="199" t="s">
        <v>185</v>
      </c>
      <c r="B129" s="200" t="s">
        <v>51</v>
      </c>
      <c r="C129" s="253">
        <f>IFERROR(IF(C113&lt;=C112,E111-(C114/(100*C112)*C113)*E111,E111-E114),0)</f>
        <v>800000</v>
      </c>
      <c r="D129" s="202"/>
      <c r="E129" s="216"/>
      <c r="F129" s="242"/>
      <c r="G129" s="196"/>
      <c r="H129" s="243"/>
      <c r="I129" s="243"/>
      <c r="J129" s="243"/>
    </row>
    <row r="130" spans="1:10">
      <c r="A130" s="199" t="s">
        <v>106</v>
      </c>
      <c r="B130" s="200" t="s">
        <v>51</v>
      </c>
      <c r="C130" s="204">
        <f>IFERROR(IF(C113&gt;=C112,C129,((((C129)-(E111-E114))*(((C112-C113)+1)/(2*(C112-C113))))+(E111-E114))),0)</f>
        <v>565352</v>
      </c>
      <c r="D130" s="202"/>
      <c r="E130" s="216"/>
      <c r="F130" s="242"/>
      <c r="G130" s="196"/>
    </row>
    <row r="131" spans="1:10">
      <c r="A131" s="700" t="s">
        <v>107</v>
      </c>
      <c r="B131" s="246" t="s">
        <v>51</v>
      </c>
      <c r="C131" s="246"/>
      <c r="D131" s="254">
        <f>C128*C130/12/100</f>
        <v>6595.7733333333335</v>
      </c>
      <c r="E131" s="205">
        <f>D131</f>
        <v>6595.7733333333335</v>
      </c>
      <c r="F131" s="242"/>
      <c r="G131" s="196"/>
    </row>
    <row r="132" spans="1:10">
      <c r="A132" s="191" t="s">
        <v>239</v>
      </c>
      <c r="B132" s="192" t="s">
        <v>70</v>
      </c>
      <c r="C132" s="192">
        <f>C116</f>
        <v>1</v>
      </c>
      <c r="D132" s="193">
        <f>D116</f>
        <v>350000</v>
      </c>
      <c r="E132" s="222">
        <f>C132*D132</f>
        <v>350000</v>
      </c>
      <c r="F132" s="242"/>
      <c r="G132" s="196"/>
      <c r="H132" s="197"/>
      <c r="I132" s="198"/>
      <c r="J132" s="198"/>
    </row>
    <row r="133" spans="1:10">
      <c r="A133" s="199" t="s">
        <v>104</v>
      </c>
      <c r="B133" s="200" t="s">
        <v>9</v>
      </c>
      <c r="C133" s="200">
        <f>C128</f>
        <v>14</v>
      </c>
      <c r="D133" s="202"/>
      <c r="E133" s="216"/>
      <c r="F133" s="242"/>
      <c r="H133" s="243"/>
      <c r="I133" s="243"/>
      <c r="J133" s="243"/>
    </row>
    <row r="134" spans="1:10">
      <c r="A134" s="199" t="s">
        <v>240</v>
      </c>
      <c r="B134" s="200" t="s">
        <v>51</v>
      </c>
      <c r="C134" s="253">
        <f>IFERROR(IF(C118&lt;=C117,E116-(C119/(100*C117)*C118)*E116,E116-E119),0)</f>
        <v>350000</v>
      </c>
      <c r="D134" s="202"/>
      <c r="E134" s="216"/>
      <c r="F134" s="242"/>
    </row>
    <row r="135" spans="1:10">
      <c r="A135" s="199" t="s">
        <v>241</v>
      </c>
      <c r="B135" s="200" t="s">
        <v>51</v>
      </c>
      <c r="C135" s="204">
        <f>IFERROR(IF(C118&gt;=C117,C134,((((C134)-(E116-E119))*(((C117-C118)+1)/(2*(C117-C118))))+(E116-E119))),0)</f>
        <v>247341.5</v>
      </c>
      <c r="D135" s="202"/>
      <c r="E135" s="216"/>
      <c r="F135" s="242"/>
    </row>
    <row r="136" spans="1:10">
      <c r="A136" s="245" t="s">
        <v>242</v>
      </c>
      <c r="B136" s="246" t="s">
        <v>51</v>
      </c>
      <c r="C136" s="246"/>
      <c r="D136" s="254">
        <f>C133*C135/12/100</f>
        <v>2885.6508333333331</v>
      </c>
      <c r="E136" s="247">
        <f>D136</f>
        <v>2885.6508333333331</v>
      </c>
      <c r="F136" s="242"/>
      <c r="H136" s="197"/>
      <c r="I136" s="198"/>
      <c r="J136" s="198"/>
    </row>
    <row r="137" spans="1:10">
      <c r="A137" s="248" t="s">
        <v>181</v>
      </c>
      <c r="B137" s="249"/>
      <c r="C137" s="249"/>
      <c r="D137" s="250"/>
      <c r="E137" s="251">
        <f>E131+E136</f>
        <v>9481.4241666666676</v>
      </c>
      <c r="F137" s="242"/>
    </row>
    <row r="138" spans="1:10">
      <c r="A138" s="245" t="str">
        <f>A122</f>
        <v>Total da frota</v>
      </c>
      <c r="B138" s="246" t="s">
        <v>70</v>
      </c>
      <c r="C138" s="200">
        <f>C122</f>
        <v>1</v>
      </c>
      <c r="D138" s="205">
        <f>E137</f>
        <v>9481.4241666666676</v>
      </c>
      <c r="E138" s="251">
        <f>C138*D138</f>
        <v>9481.4241666666676</v>
      </c>
      <c r="F138" s="242"/>
      <c r="H138" s="243"/>
      <c r="I138" s="243"/>
      <c r="J138" s="243"/>
    </row>
    <row r="139" spans="1:10" ht="16.5" thickBot="1">
      <c r="A139" s="867" t="str">
        <f>F126</f>
        <v>Total (R$)</v>
      </c>
      <c r="B139" s="870"/>
      <c r="C139" s="912"/>
      <c r="D139" s="229" t="s">
        <v>58</v>
      </c>
      <c r="E139" s="230">
        <f>$B$51</f>
        <v>0.25330000000000003</v>
      </c>
      <c r="F139" s="213">
        <f>(E138*E139)</f>
        <v>2401.6447414166673</v>
      </c>
    </row>
    <row r="140" spans="1:10" ht="11.25" customHeight="1"/>
    <row r="141" spans="1:10" ht="16.5" thickBot="1">
      <c r="A141" s="255" t="s">
        <v>243</v>
      </c>
    </row>
    <row r="142" spans="1:10" ht="16.5" thickBot="1">
      <c r="A142" s="187" t="s">
        <v>45</v>
      </c>
      <c r="B142" s="188" t="s">
        <v>46</v>
      </c>
      <c r="C142" s="188" t="s">
        <v>39</v>
      </c>
      <c r="D142" s="189" t="s">
        <v>47</v>
      </c>
      <c r="E142" s="189" t="s">
        <v>48</v>
      </c>
      <c r="F142" s="190" t="s">
        <v>49</v>
      </c>
    </row>
    <row r="143" spans="1:10">
      <c r="A143" s="191" t="s">
        <v>113</v>
      </c>
      <c r="B143" s="192" t="s">
        <v>70</v>
      </c>
      <c r="C143" s="194">
        <f>C111</f>
        <v>1</v>
      </c>
      <c r="D143" s="194">
        <f>(D127+D132)*1%</f>
        <v>11500</v>
      </c>
      <c r="E143" s="194">
        <f>C143*D143</f>
        <v>11500</v>
      </c>
      <c r="F143" s="217"/>
      <c r="G143" s="196"/>
      <c r="H143" s="197"/>
      <c r="I143" s="198"/>
      <c r="J143" s="198"/>
    </row>
    <row r="144" spans="1:10">
      <c r="A144" s="199" t="s">
        <v>114</v>
      </c>
      <c r="B144" s="200" t="s">
        <v>70</v>
      </c>
      <c r="C144" s="194">
        <f>C111</f>
        <v>1</v>
      </c>
      <c r="D144" s="225">
        <v>114.09</v>
      </c>
      <c r="E144" s="202">
        <f>C144*D144</f>
        <v>114.09</v>
      </c>
      <c r="F144" s="219"/>
      <c r="G144" s="196"/>
      <c r="H144" s="197"/>
      <c r="I144" s="198"/>
      <c r="J144" s="198"/>
    </row>
    <row r="145" spans="1:10">
      <c r="A145" s="199" t="s">
        <v>115</v>
      </c>
      <c r="B145" s="200" t="s">
        <v>70</v>
      </c>
      <c r="C145" s="194">
        <f>C111</f>
        <v>1</v>
      </c>
      <c r="D145" s="225">
        <v>25000</v>
      </c>
      <c r="E145" s="202">
        <f>C145*D145</f>
        <v>25000</v>
      </c>
      <c r="F145" s="256"/>
      <c r="G145" s="196"/>
      <c r="H145" s="197"/>
      <c r="I145" s="198"/>
      <c r="J145" s="198"/>
    </row>
    <row r="146" spans="1:10">
      <c r="A146" s="245" t="s">
        <v>116</v>
      </c>
      <c r="B146" s="246" t="s">
        <v>50</v>
      </c>
      <c r="C146" s="246">
        <v>12</v>
      </c>
      <c r="D146" s="205">
        <f>SUM(E143:E145)</f>
        <v>36614.089999999997</v>
      </c>
      <c r="E146" s="205">
        <f>D146/C146</f>
        <v>3051.1741666666662</v>
      </c>
      <c r="F146" s="219"/>
      <c r="H146" s="243"/>
      <c r="I146" s="243"/>
      <c r="J146" s="243"/>
    </row>
    <row r="147" spans="1:10" ht="16.5" thickBot="1">
      <c r="A147" s="867" t="str">
        <f>F142</f>
        <v>Total (R$)</v>
      </c>
      <c r="B147" s="870"/>
      <c r="C147" s="912"/>
      <c r="D147" s="229" t="s">
        <v>58</v>
      </c>
      <c r="E147" s="212">
        <f>$B$51</f>
        <v>0.25330000000000003</v>
      </c>
      <c r="F147" s="213">
        <f>E146*E147</f>
        <v>772.86241641666663</v>
      </c>
      <c r="H147" s="243"/>
      <c r="I147" s="243"/>
      <c r="J147" s="243"/>
    </row>
    <row r="148" spans="1:10" ht="11.25" customHeight="1">
      <c r="G148" s="196"/>
      <c r="H148" s="243"/>
      <c r="I148" s="243"/>
      <c r="J148" s="243"/>
    </row>
    <row r="149" spans="1:10">
      <c r="A149" s="255" t="s">
        <v>244</v>
      </c>
      <c r="B149" s="257"/>
      <c r="H149" s="243"/>
      <c r="I149" s="243"/>
      <c r="J149" s="243"/>
    </row>
    <row r="150" spans="1:10" ht="16.5" thickBot="1">
      <c r="B150" s="257"/>
      <c r="H150" s="243"/>
      <c r="I150" s="243"/>
      <c r="J150" s="243"/>
    </row>
    <row r="151" spans="1:10" ht="16.5" thickBot="1">
      <c r="A151" s="258" t="s">
        <v>118</v>
      </c>
      <c r="B151" s="259">
        <v>2228.9</v>
      </c>
      <c r="H151" s="243"/>
      <c r="I151" s="243"/>
      <c r="J151" s="243"/>
    </row>
    <row r="152" spans="1:10" ht="16.5" thickBot="1">
      <c r="B152" s="257"/>
      <c r="H152" s="243"/>
      <c r="I152" s="243"/>
      <c r="J152" s="243"/>
    </row>
    <row r="153" spans="1:10" ht="16.5" thickBot="1">
      <c r="A153" s="187" t="s">
        <v>45</v>
      </c>
      <c r="B153" s="188" t="s">
        <v>46</v>
      </c>
      <c r="C153" s="188" t="s">
        <v>119</v>
      </c>
      <c r="D153" s="189" t="s">
        <v>47</v>
      </c>
      <c r="E153" s="189" t="s">
        <v>48</v>
      </c>
      <c r="F153" s="190" t="s">
        <v>49</v>
      </c>
      <c r="H153" s="243"/>
      <c r="I153" s="243"/>
      <c r="J153" s="243"/>
    </row>
    <row r="154" spans="1:10">
      <c r="A154" s="260" t="s">
        <v>120</v>
      </c>
      <c r="B154" s="261" t="s">
        <v>121</v>
      </c>
      <c r="C154" s="262">
        <v>2</v>
      </c>
      <c r="D154" s="263">
        <v>6.81</v>
      </c>
      <c r="E154" s="264"/>
      <c r="F154" s="217"/>
      <c r="H154" s="197"/>
      <c r="I154" s="198"/>
      <c r="J154" s="198"/>
    </row>
    <row r="155" spans="1:10">
      <c r="A155" s="265" t="s">
        <v>122</v>
      </c>
      <c r="B155" s="266" t="s">
        <v>123</v>
      </c>
      <c r="C155" s="736">
        <f>$B$151</f>
        <v>2228.9</v>
      </c>
      <c r="D155" s="267">
        <f>IFERROR(+D154/C154,"-")</f>
        <v>3.4049999999999998</v>
      </c>
      <c r="E155" s="268">
        <f>IFERROR(C155*D155,"-")</f>
        <v>7589.4044999999996</v>
      </c>
      <c r="F155" s="219"/>
      <c r="H155" s="243"/>
      <c r="I155" s="243"/>
      <c r="J155" s="243"/>
    </row>
    <row r="156" spans="1:10">
      <c r="A156" s="269" t="s">
        <v>124</v>
      </c>
      <c r="B156" s="270" t="s">
        <v>125</v>
      </c>
      <c r="C156" s="271">
        <v>1.5</v>
      </c>
      <c r="D156" s="272">
        <v>30</v>
      </c>
      <c r="E156" s="273"/>
      <c r="F156" s="219"/>
      <c r="G156" s="196"/>
      <c r="H156" s="197"/>
      <c r="I156" s="198"/>
      <c r="J156" s="198"/>
    </row>
    <row r="157" spans="1:10">
      <c r="A157" s="274" t="s">
        <v>126</v>
      </c>
      <c r="B157" s="275" t="s">
        <v>123</v>
      </c>
      <c r="C157" s="736">
        <f>$B$151</f>
        <v>2228.9</v>
      </c>
      <c r="D157" s="276">
        <f>+C156*D156/1000</f>
        <v>4.4999999999999998E-2</v>
      </c>
      <c r="E157" s="277">
        <f>C157*D157</f>
        <v>100.3005</v>
      </c>
      <c r="F157" s="219"/>
      <c r="H157" s="243"/>
      <c r="I157" s="243"/>
      <c r="J157" s="243"/>
    </row>
    <row r="158" spans="1:10">
      <c r="A158" s="278" t="s">
        <v>127</v>
      </c>
      <c r="B158" s="279" t="s">
        <v>125</v>
      </c>
      <c r="C158" s="280">
        <v>0.3</v>
      </c>
      <c r="D158" s="281">
        <v>75</v>
      </c>
      <c r="E158" s="282"/>
      <c r="F158" s="219"/>
      <c r="G158" s="196"/>
      <c r="H158" s="197"/>
      <c r="I158" s="198"/>
      <c r="J158" s="198"/>
    </row>
    <row r="159" spans="1:10">
      <c r="A159" s="274" t="s">
        <v>128</v>
      </c>
      <c r="B159" s="275" t="s">
        <v>123</v>
      </c>
      <c r="C159" s="736">
        <f>$B$151</f>
        <v>2228.9</v>
      </c>
      <c r="D159" s="276">
        <f>+C158*D158/1000</f>
        <v>2.2499999999999999E-2</v>
      </c>
      <c r="E159" s="277">
        <f>C159*D159</f>
        <v>50.15025</v>
      </c>
      <c r="F159" s="219"/>
      <c r="G159" s="196"/>
      <c r="H159" s="243"/>
      <c r="I159" s="243"/>
      <c r="J159" s="243"/>
    </row>
    <row r="160" spans="1:10">
      <c r="A160" s="269" t="s">
        <v>129</v>
      </c>
      <c r="B160" s="270" t="s">
        <v>125</v>
      </c>
      <c r="C160" s="271">
        <v>6</v>
      </c>
      <c r="D160" s="272">
        <v>22</v>
      </c>
      <c r="E160" s="273"/>
      <c r="F160" s="219"/>
      <c r="G160" s="196"/>
      <c r="H160" s="197"/>
      <c r="I160" s="198"/>
      <c r="J160" s="198"/>
    </row>
    <row r="161" spans="1:10">
      <c r="A161" s="274" t="s">
        <v>130</v>
      </c>
      <c r="B161" s="275" t="s">
        <v>123</v>
      </c>
      <c r="C161" s="736">
        <f>$B$151</f>
        <v>2228.9</v>
      </c>
      <c r="D161" s="276">
        <f>+C160*D160/1000</f>
        <v>0.13200000000000001</v>
      </c>
      <c r="E161" s="277">
        <f>C161*D161</f>
        <v>294.21480000000003</v>
      </c>
      <c r="F161" s="219"/>
      <c r="H161" s="243"/>
      <c r="I161" s="243"/>
      <c r="J161" s="243"/>
    </row>
    <row r="162" spans="1:10">
      <c r="A162" s="269" t="s">
        <v>131</v>
      </c>
      <c r="B162" s="270" t="s">
        <v>132</v>
      </c>
      <c r="C162" s="271">
        <v>2</v>
      </c>
      <c r="D162" s="272">
        <v>29</v>
      </c>
      <c r="E162" s="273"/>
      <c r="F162" s="219"/>
      <c r="G162" s="196"/>
      <c r="H162" s="197"/>
      <c r="I162" s="198"/>
      <c r="J162" s="198"/>
    </row>
    <row r="163" spans="1:10">
      <c r="A163" s="274" t="s">
        <v>133</v>
      </c>
      <c r="B163" s="275" t="s">
        <v>123</v>
      </c>
      <c r="C163" s="736">
        <f>$B$151</f>
        <v>2228.9</v>
      </c>
      <c r="D163" s="276">
        <f>+C162*D162/1000</f>
        <v>5.8000000000000003E-2</v>
      </c>
      <c r="E163" s="277">
        <f>C163*D163</f>
        <v>129.27620000000002</v>
      </c>
      <c r="F163" s="219"/>
      <c r="H163" s="243"/>
      <c r="I163" s="243"/>
      <c r="J163" s="243"/>
    </row>
    <row r="164" spans="1:10">
      <c r="A164" s="245" t="s">
        <v>134</v>
      </c>
      <c r="B164" s="246" t="s">
        <v>135</v>
      </c>
      <c r="C164" s="284"/>
      <c r="D164" s="285">
        <f>IFERROR(D155+D157+D159+D161+D163,0)</f>
        <v>3.6624999999999996</v>
      </c>
      <c r="E164" s="216"/>
      <c r="F164" s="219"/>
      <c r="G164" s="196"/>
      <c r="H164" s="243"/>
      <c r="I164" s="243"/>
      <c r="J164" s="243"/>
    </row>
    <row r="165" spans="1:10" ht="16.5" thickBot="1">
      <c r="A165" s="867" t="str">
        <f>F153</f>
        <v>Total (R$)</v>
      </c>
      <c r="B165" s="870"/>
      <c r="C165" s="870"/>
      <c r="D165" s="870"/>
      <c r="E165" s="912"/>
      <c r="F165" s="213">
        <f>SUM(E154:E163)</f>
        <v>8163.3462499999996</v>
      </c>
      <c r="H165" s="243"/>
      <c r="I165" s="243"/>
      <c r="J165" s="243"/>
    </row>
    <row r="166" spans="1:10" ht="11.25" customHeight="1">
      <c r="H166" s="243"/>
      <c r="I166" s="243"/>
      <c r="J166" s="243"/>
    </row>
    <row r="167" spans="1:10" ht="16.5" thickBot="1">
      <c r="A167" s="255" t="s">
        <v>245</v>
      </c>
      <c r="H167" s="243"/>
      <c r="I167" s="243"/>
      <c r="J167" s="243"/>
    </row>
    <row r="168" spans="1:10" ht="16.5" thickBot="1">
      <c r="A168" s="187" t="s">
        <v>45</v>
      </c>
      <c r="B168" s="188" t="s">
        <v>46</v>
      </c>
      <c r="C168" s="188" t="s">
        <v>39</v>
      </c>
      <c r="D168" s="189" t="s">
        <v>47</v>
      </c>
      <c r="E168" s="189" t="s">
        <v>48</v>
      </c>
      <c r="F168" s="190" t="s">
        <v>49</v>
      </c>
      <c r="H168" s="243"/>
      <c r="I168" s="243"/>
      <c r="J168" s="243"/>
    </row>
    <row r="169" spans="1:10">
      <c r="A169" s="191" t="s">
        <v>194</v>
      </c>
      <c r="B169" s="192" t="s">
        <v>135</v>
      </c>
      <c r="C169" s="214">
        <f>SUM(B151)</f>
        <v>2228.9</v>
      </c>
      <c r="D169" s="193">
        <v>1.05</v>
      </c>
      <c r="E169" s="222">
        <f>C169*D169</f>
        <v>2340.3450000000003</v>
      </c>
      <c r="F169" s="217"/>
      <c r="G169" s="196"/>
      <c r="H169" s="197"/>
      <c r="I169" s="198"/>
      <c r="J169" s="198"/>
    </row>
    <row r="170" spans="1:10" ht="16.5" thickBot="1">
      <c r="A170" s="867" t="str">
        <f>F168</f>
        <v>Total (R$)</v>
      </c>
      <c r="B170" s="870"/>
      <c r="C170" s="870"/>
      <c r="D170" s="870"/>
      <c r="E170" s="912"/>
      <c r="F170" s="213">
        <f>E169</f>
        <v>2340.3450000000003</v>
      </c>
      <c r="H170" s="243"/>
      <c r="I170" s="243"/>
      <c r="J170" s="243"/>
    </row>
    <row r="171" spans="1:10" ht="16.5" thickBot="1">
      <c r="A171" s="255" t="s">
        <v>246</v>
      </c>
      <c r="H171" s="243"/>
      <c r="I171" s="243"/>
      <c r="J171" s="243"/>
    </row>
    <row r="172" spans="1:10" ht="16.5" thickBot="1">
      <c r="A172" s="187" t="s">
        <v>45</v>
      </c>
      <c r="B172" s="188" t="s">
        <v>46</v>
      </c>
      <c r="C172" s="188" t="s">
        <v>39</v>
      </c>
      <c r="D172" s="189" t="s">
        <v>47</v>
      </c>
      <c r="E172" s="189" t="s">
        <v>48</v>
      </c>
      <c r="F172" s="190" t="s">
        <v>49</v>
      </c>
      <c r="H172" s="243"/>
      <c r="I172" s="243"/>
      <c r="J172" s="243"/>
    </row>
    <row r="173" spans="1:10">
      <c r="A173" s="191" t="s">
        <v>196</v>
      </c>
      <c r="B173" s="192" t="s">
        <v>70</v>
      </c>
      <c r="C173" s="286">
        <v>12</v>
      </c>
      <c r="D173" s="193">
        <v>2086.83</v>
      </c>
      <c r="E173" s="222">
        <f>C173*D173</f>
        <v>25041.96</v>
      </c>
      <c r="F173" s="217"/>
      <c r="G173" s="196"/>
      <c r="H173" s="197"/>
      <c r="I173" s="198"/>
      <c r="J173" s="198"/>
    </row>
    <row r="174" spans="1:10">
      <c r="A174" s="191" t="s">
        <v>139</v>
      </c>
      <c r="B174" s="192" t="s">
        <v>70</v>
      </c>
      <c r="C174" s="286">
        <v>1</v>
      </c>
      <c r="D174" s="287"/>
      <c r="E174" s="222"/>
      <c r="F174" s="219"/>
      <c r="H174" s="243"/>
      <c r="I174" s="243"/>
      <c r="J174" s="243"/>
    </row>
    <row r="175" spans="1:10">
      <c r="A175" s="191" t="s">
        <v>140</v>
      </c>
      <c r="B175" s="192" t="s">
        <v>70</v>
      </c>
      <c r="C175" s="194">
        <f>C173*C174</f>
        <v>12</v>
      </c>
      <c r="D175" s="193">
        <v>667.8</v>
      </c>
      <c r="E175" s="222">
        <f>C175*D175</f>
        <v>8013.5999999999995</v>
      </c>
      <c r="F175" s="219"/>
      <c r="G175" s="196"/>
      <c r="H175" s="197"/>
      <c r="I175" s="198"/>
      <c r="J175" s="198"/>
    </row>
    <row r="176" spans="1:10">
      <c r="A176" s="199" t="s">
        <v>141</v>
      </c>
      <c r="B176" s="200" t="s">
        <v>142</v>
      </c>
      <c r="C176" s="288">
        <v>130000</v>
      </c>
      <c r="D176" s="202">
        <f>E173+E175</f>
        <v>33055.56</v>
      </c>
      <c r="E176" s="216">
        <f>IFERROR(D176/C176,"-")</f>
        <v>0.25427353846153844</v>
      </c>
      <c r="F176" s="219"/>
      <c r="G176" s="196"/>
      <c r="H176" s="197"/>
      <c r="I176" s="198"/>
      <c r="J176" s="198"/>
    </row>
    <row r="177" spans="1:10">
      <c r="A177" s="199" t="s">
        <v>143</v>
      </c>
      <c r="B177" s="200" t="s">
        <v>123</v>
      </c>
      <c r="C177" s="214">
        <f>B151</f>
        <v>2228.9</v>
      </c>
      <c r="D177" s="202">
        <f>E176</f>
        <v>0.25427353846153844</v>
      </c>
      <c r="E177" s="216">
        <f>IFERROR(C177*D177,0)</f>
        <v>566.75028987692303</v>
      </c>
      <c r="F177" s="219"/>
      <c r="G177" s="196"/>
      <c r="H177" s="243"/>
      <c r="I177" s="243"/>
      <c r="J177" s="243"/>
    </row>
    <row r="178" spans="1:10" ht="16.5" thickBot="1">
      <c r="A178" s="867" t="str">
        <f>F172</f>
        <v>Total (R$)</v>
      </c>
      <c r="B178" s="870"/>
      <c r="C178" s="870"/>
      <c r="D178" s="870"/>
      <c r="E178" s="912"/>
      <c r="F178" s="213">
        <f>E177</f>
        <v>566.75028987692303</v>
      </c>
      <c r="H178" s="243"/>
      <c r="I178" s="243"/>
      <c r="J178" s="243"/>
    </row>
    <row r="179" spans="1:10" ht="11.25" customHeight="1">
      <c r="H179" s="243"/>
      <c r="I179" s="243"/>
      <c r="J179" s="243"/>
    </row>
    <row r="180" spans="1:10" ht="11.25" customHeight="1" thickBot="1">
      <c r="H180" s="243"/>
      <c r="I180" s="243"/>
      <c r="J180" s="243"/>
    </row>
    <row r="181" spans="1:10" ht="16.5" thickBot="1">
      <c r="A181" s="231" t="s">
        <v>144</v>
      </c>
      <c r="B181" s="232"/>
      <c r="C181" s="232"/>
      <c r="D181" s="153"/>
      <c r="E181" s="153"/>
      <c r="F181" s="127">
        <f>+SUM(F111:F180)</f>
        <v>15827.166039376923</v>
      </c>
    </row>
    <row r="182" spans="1:10" ht="11.25" customHeight="1"/>
    <row r="183" spans="1:10">
      <c r="A183" s="184" t="s">
        <v>145</v>
      </c>
      <c r="B183" s="184"/>
      <c r="C183" s="184"/>
      <c r="D183" s="183"/>
      <c r="E183" s="183"/>
      <c r="F183" s="289"/>
    </row>
    <row r="184" spans="1:10" ht="11.25" customHeight="1" thickBot="1"/>
    <row r="185" spans="1:10" ht="16.5" thickBot="1">
      <c r="A185" s="187" t="s">
        <v>45</v>
      </c>
      <c r="B185" s="188" t="s">
        <v>46</v>
      </c>
      <c r="C185" s="188" t="s">
        <v>39</v>
      </c>
      <c r="D185" s="189" t="s">
        <v>47</v>
      </c>
      <c r="E185" s="189" t="s">
        <v>48</v>
      </c>
      <c r="F185" s="190" t="s">
        <v>49</v>
      </c>
    </row>
    <row r="186" spans="1:10">
      <c r="A186" s="199" t="s">
        <v>146</v>
      </c>
      <c r="B186" s="200" t="s">
        <v>70</v>
      </c>
      <c r="C186" s="235">
        <v>8.3333333333333301E-2</v>
      </c>
      <c r="D186" s="193">
        <v>47.95</v>
      </c>
      <c r="E186" s="216">
        <f>C186*D186</f>
        <v>3.9958333333333322</v>
      </c>
      <c r="F186" s="252"/>
      <c r="G186" s="727"/>
      <c r="H186" s="197"/>
      <c r="I186" s="198"/>
      <c r="J186" s="198"/>
    </row>
    <row r="187" spans="1:10">
      <c r="A187" s="199" t="s">
        <v>147</v>
      </c>
      <c r="B187" s="200" t="s">
        <v>70</v>
      </c>
      <c r="C187" s="235">
        <v>8.3333333333333301E-2</v>
      </c>
      <c r="D187" s="193">
        <v>51.88</v>
      </c>
      <c r="E187" s="216">
        <f>C187*D187</f>
        <v>4.3233333333333315</v>
      </c>
      <c r="F187" s="242"/>
      <c r="G187" s="727"/>
      <c r="H187" s="197"/>
      <c r="I187" s="198"/>
      <c r="J187" s="198"/>
    </row>
    <row r="188" spans="1:10" ht="16.5" thickBot="1">
      <c r="A188" s="867" t="str">
        <f>F185</f>
        <v>Total (R$)</v>
      </c>
      <c r="B188" s="870"/>
      <c r="C188" s="870"/>
      <c r="D188" s="870"/>
      <c r="E188" s="912"/>
      <c r="F188" s="213">
        <v>8.3606691315294004</v>
      </c>
      <c r="G188" s="196"/>
      <c r="H188" s="197"/>
      <c r="I188" s="198"/>
      <c r="J188" s="228"/>
    </row>
    <row r="189" spans="1:10" ht="11.25" customHeight="1" thickBot="1">
      <c r="G189" s="196"/>
      <c r="H189" s="197"/>
      <c r="I189" s="198"/>
      <c r="J189" s="228"/>
    </row>
    <row r="190" spans="1:10" ht="16.5" thickBot="1">
      <c r="A190" s="915" t="s">
        <v>149</v>
      </c>
      <c r="B190" s="916"/>
      <c r="C190" s="916"/>
      <c r="D190" s="916"/>
      <c r="E190" s="916"/>
      <c r="F190" s="237">
        <f>+F188</f>
        <v>8.3606691315294004</v>
      </c>
      <c r="G190" s="196"/>
      <c r="H190" s="197"/>
      <c r="I190" s="198"/>
      <c r="J190" s="198"/>
    </row>
    <row r="191" spans="1:10" ht="11.25" customHeight="1"/>
    <row r="192" spans="1:10">
      <c r="A192" s="184" t="s">
        <v>150</v>
      </c>
      <c r="B192" s="184"/>
      <c r="C192" s="184"/>
      <c r="D192" s="183"/>
      <c r="E192" s="183"/>
      <c r="F192" s="289"/>
      <c r="G192" s="196"/>
    </row>
    <row r="193" spans="1:10" ht="11.25" customHeight="1" thickBot="1"/>
    <row r="194" spans="1:10" ht="16.5" thickBot="1">
      <c r="A194" s="187" t="s">
        <v>45</v>
      </c>
      <c r="B194" s="188" t="s">
        <v>46</v>
      </c>
      <c r="C194" s="188" t="s">
        <v>39</v>
      </c>
      <c r="D194" s="189" t="s">
        <v>47</v>
      </c>
      <c r="E194" s="189" t="s">
        <v>48</v>
      </c>
      <c r="F194" s="190" t="s">
        <v>49</v>
      </c>
      <c r="G194" s="196"/>
    </row>
    <row r="195" spans="1:10">
      <c r="A195" s="199" t="s">
        <v>151</v>
      </c>
      <c r="B195" s="200" t="s">
        <v>152</v>
      </c>
      <c r="C195" s="236">
        <f>C111</f>
        <v>1</v>
      </c>
      <c r="D195" s="225">
        <v>450</v>
      </c>
      <c r="E195" s="216">
        <f>+D195*C195</f>
        <v>450</v>
      </c>
      <c r="F195" s="252"/>
      <c r="G195" s="196"/>
      <c r="H195" s="197"/>
      <c r="I195" s="198"/>
      <c r="J195" s="198"/>
    </row>
    <row r="196" spans="1:10">
      <c r="A196" s="199" t="s">
        <v>153</v>
      </c>
      <c r="B196" s="200" t="s">
        <v>50</v>
      </c>
      <c r="C196" s="200">
        <v>60</v>
      </c>
      <c r="D196" s="202">
        <f>SUM(E195:E195)</f>
        <v>450</v>
      </c>
      <c r="E196" s="216">
        <f>+D196/C196</f>
        <v>7.5</v>
      </c>
      <c r="F196" s="242"/>
      <c r="G196" s="196"/>
    </row>
    <row r="197" spans="1:10">
      <c r="A197" s="199" t="s">
        <v>154</v>
      </c>
      <c r="B197" s="200" t="s">
        <v>70</v>
      </c>
      <c r="C197" s="236">
        <f>+C195</f>
        <v>1</v>
      </c>
      <c r="D197" s="225">
        <v>100</v>
      </c>
      <c r="E197" s="216">
        <f>C197*D197</f>
        <v>100</v>
      </c>
      <c r="F197" s="242"/>
      <c r="G197" s="196"/>
      <c r="H197" s="197"/>
      <c r="I197" s="198"/>
      <c r="J197" s="198"/>
    </row>
    <row r="198" spans="1:10">
      <c r="A198" s="199" t="s">
        <v>155</v>
      </c>
      <c r="B198" s="200" t="s">
        <v>50</v>
      </c>
      <c r="C198" s="200">
        <v>1</v>
      </c>
      <c r="D198" s="202">
        <f>+E197</f>
        <v>100</v>
      </c>
      <c r="E198" s="216">
        <f>+D198/C198</f>
        <v>100</v>
      </c>
      <c r="F198" s="242"/>
      <c r="G198" s="196"/>
      <c r="H198" s="197"/>
      <c r="I198" s="198"/>
      <c r="J198" s="198"/>
    </row>
    <row r="199" spans="1:10" ht="16.5" thickBot="1">
      <c r="A199" s="867" t="str">
        <f>F194</f>
        <v>Total (R$)</v>
      </c>
      <c r="B199" s="870"/>
      <c r="C199" s="912"/>
      <c r="D199" s="229" t="s">
        <v>58</v>
      </c>
      <c r="E199" s="230">
        <f>$B$51</f>
        <v>0.25330000000000003</v>
      </c>
      <c r="F199" s="213">
        <f>(E196+E198)*E199</f>
        <v>27.229750000000003</v>
      </c>
    </row>
    <row r="200" spans="1:10" s="119" customFormat="1" ht="11.25" customHeight="1" thickBot="1">
      <c r="A200" s="120"/>
      <c r="B200" s="120"/>
      <c r="C200" s="120"/>
      <c r="D200" s="121"/>
      <c r="E200" s="121"/>
      <c r="F200" s="121"/>
      <c r="G200" s="122"/>
      <c r="H200" s="122"/>
      <c r="I200" s="122"/>
      <c r="J200" s="122"/>
    </row>
    <row r="201" spans="1:10" ht="16.5" thickBot="1">
      <c r="A201" s="915" t="s">
        <v>156</v>
      </c>
      <c r="B201" s="916"/>
      <c r="C201" s="916"/>
      <c r="D201" s="916"/>
      <c r="E201" s="916"/>
      <c r="F201" s="237">
        <f>+F199</f>
        <v>27.229750000000003</v>
      </c>
      <c r="G201" s="196"/>
    </row>
    <row r="202" spans="1:10" ht="11.25" customHeight="1">
      <c r="A202" s="186"/>
      <c r="B202" s="186"/>
      <c r="C202" s="186"/>
      <c r="D202" s="186"/>
      <c r="E202" s="186"/>
      <c r="F202" s="289"/>
      <c r="H202" s="119"/>
      <c r="I202" s="119"/>
      <c r="J202" s="119"/>
    </row>
    <row r="203" spans="1:10">
      <c r="A203" s="184" t="s">
        <v>247</v>
      </c>
      <c r="B203" s="184"/>
      <c r="C203" s="184"/>
      <c r="D203" s="183"/>
      <c r="E203" s="183"/>
      <c r="F203" s="289"/>
    </row>
    <row r="205" spans="1:10" ht="16.5" thickBot="1">
      <c r="A205" s="187" t="s">
        <v>45</v>
      </c>
      <c r="B205" s="188" t="s">
        <v>46</v>
      </c>
      <c r="C205" s="188" t="s">
        <v>39</v>
      </c>
      <c r="D205" s="189" t="s">
        <v>47</v>
      </c>
      <c r="E205" s="189" t="s">
        <v>48</v>
      </c>
      <c r="F205" s="190" t="s">
        <v>49</v>
      </c>
    </row>
    <row r="206" spans="1:10">
      <c r="A206" s="199" t="s">
        <v>248</v>
      </c>
      <c r="B206" s="200" t="s">
        <v>249</v>
      </c>
      <c r="C206" s="290">
        <v>157.96</v>
      </c>
      <c r="D206" s="225">
        <f>AVERAGE(135,145,60)</f>
        <v>113.33333333333333</v>
      </c>
      <c r="E206" s="216">
        <f>+D206*C206</f>
        <v>17902.133333333335</v>
      </c>
      <c r="F206" s="252"/>
      <c r="G206" s="196"/>
      <c r="H206" s="197"/>
      <c r="I206" s="198"/>
      <c r="J206" s="198"/>
    </row>
    <row r="207" spans="1:10" ht="16.5" thickBot="1">
      <c r="A207" s="867" t="str">
        <f>F205</f>
        <v>Total (R$)</v>
      </c>
      <c r="B207" s="870"/>
      <c r="C207" s="912"/>
      <c r="D207" s="229" t="s">
        <v>58</v>
      </c>
      <c r="E207" s="291">
        <v>1</v>
      </c>
      <c r="F207" s="213">
        <f>E206</f>
        <v>17902.133333333335</v>
      </c>
      <c r="J207" s="118"/>
    </row>
    <row r="208" spans="1:10" ht="11.25" customHeight="1" thickBot="1">
      <c r="G208" s="196"/>
      <c r="J208" s="118"/>
    </row>
    <row r="209" spans="1:10" ht="17.25" customHeight="1" thickBot="1">
      <c r="A209" s="915" t="s">
        <v>157</v>
      </c>
      <c r="B209" s="916"/>
      <c r="C209" s="916"/>
      <c r="D209" s="916"/>
      <c r="E209" s="916"/>
      <c r="F209" s="292">
        <f>+F86+F103+F181+F190+F201+F207</f>
        <v>35531.435288062101</v>
      </c>
      <c r="J209" s="118"/>
    </row>
    <row r="210" spans="1:10" ht="11.25" customHeight="1">
      <c r="J210" s="118"/>
    </row>
    <row r="211" spans="1:10">
      <c r="A211" s="184" t="s">
        <v>250</v>
      </c>
      <c r="J211" s="118"/>
    </row>
    <row r="212" spans="1:10" ht="11.25" customHeight="1" thickBot="1">
      <c r="J212" s="118"/>
    </row>
    <row r="213" spans="1:10" ht="16.5" thickBot="1">
      <c r="A213" s="187" t="s">
        <v>45</v>
      </c>
      <c r="B213" s="188" t="s">
        <v>46</v>
      </c>
      <c r="C213" s="188" t="s">
        <v>39</v>
      </c>
      <c r="D213" s="189" t="s">
        <v>47</v>
      </c>
      <c r="E213" s="189" t="s">
        <v>48</v>
      </c>
      <c r="F213" s="190" t="s">
        <v>49</v>
      </c>
      <c r="J213" s="118"/>
    </row>
    <row r="214" spans="1:10">
      <c r="A214" s="191" t="s">
        <v>159</v>
      </c>
      <c r="B214" s="192" t="s">
        <v>9</v>
      </c>
      <c r="C214" s="207">
        <f>'4.BDI'!B14*100</f>
        <v>26.36</v>
      </c>
      <c r="D214" s="194">
        <f>+F209-F207</f>
        <v>17629.301954728766</v>
      </c>
      <c r="E214" s="222">
        <f>C214*D214/100</f>
        <v>4647.0839952665028</v>
      </c>
      <c r="F214" s="217"/>
      <c r="J214" s="118"/>
    </row>
    <row r="215" spans="1:10" ht="28.5">
      <c r="A215" s="293" t="s">
        <v>251</v>
      </c>
      <c r="B215" s="192" t="s">
        <v>9</v>
      </c>
      <c r="C215" s="207">
        <v>0</v>
      </c>
      <c r="D215" s="194">
        <f>F207</f>
        <v>17902.133333333335</v>
      </c>
      <c r="E215" s="222">
        <f>C215*D215/100</f>
        <v>0</v>
      </c>
      <c r="F215" s="219"/>
      <c r="G215" s="196"/>
      <c r="J215" s="118"/>
    </row>
    <row r="216" spans="1:10" ht="16.5" thickBot="1">
      <c r="A216" s="920" t="str">
        <f>F213</f>
        <v>Total (R$)</v>
      </c>
      <c r="B216" s="921"/>
      <c r="C216" s="921"/>
      <c r="D216" s="921"/>
      <c r="E216" s="921"/>
      <c r="F216" s="213">
        <f>+E214+E215</f>
        <v>4647.0839952665028</v>
      </c>
      <c r="J216" s="118"/>
    </row>
    <row r="217" spans="1:10" ht="11.25" customHeight="1" thickBot="1">
      <c r="J217" s="283"/>
    </row>
    <row r="218" spans="1:10" ht="16.5" thickBot="1">
      <c r="A218" s="915" t="s">
        <v>160</v>
      </c>
      <c r="B218" s="916"/>
      <c r="C218" s="916"/>
      <c r="D218" s="916"/>
      <c r="E218" s="916"/>
      <c r="F218" s="292">
        <f>F216</f>
        <v>4647.0839952665028</v>
      </c>
      <c r="J218" s="283"/>
    </row>
    <row r="219" spans="1:10">
      <c r="A219" s="184"/>
      <c r="B219" s="184"/>
      <c r="C219" s="184"/>
      <c r="D219" s="183"/>
      <c r="E219" s="183"/>
      <c r="F219" s="289"/>
      <c r="G219" s="196"/>
      <c r="J219" s="283"/>
    </row>
    <row r="220" spans="1:10" ht="11.25" customHeight="1" thickBot="1">
      <c r="G220" s="196"/>
      <c r="J220" s="283"/>
    </row>
    <row r="221" spans="1:10" ht="16.5" thickBot="1">
      <c r="A221" s="915" t="s">
        <v>161</v>
      </c>
      <c r="B221" s="916"/>
      <c r="C221" s="916"/>
      <c r="D221" s="916"/>
      <c r="E221" s="916"/>
      <c r="F221" s="292">
        <f>F209+F218</f>
        <v>40178.519283328606</v>
      </c>
      <c r="G221" s="196"/>
      <c r="H221" s="197"/>
      <c r="I221" s="198"/>
      <c r="J221" s="118"/>
    </row>
    <row r="222" spans="1:10" ht="16.149999999999999" hidden="1" customHeight="1">
      <c r="A222" s="184"/>
      <c r="B222" s="760" t="s">
        <v>252</v>
      </c>
      <c r="C222" s="760"/>
      <c r="D222" s="178"/>
      <c r="E222" s="183"/>
      <c r="F222" s="183"/>
      <c r="J222" s="118"/>
    </row>
    <row r="223" spans="1:10" hidden="1">
      <c r="J223" s="118"/>
    </row>
    <row r="224" spans="1:10" ht="16.5" hidden="1" thickBot="1">
      <c r="A224" s="258" t="s">
        <v>162</v>
      </c>
      <c r="B224" s="295"/>
      <c r="C224" s="295"/>
      <c r="D224" s="296">
        <v>53.55</v>
      </c>
      <c r="E224" s="297" t="s">
        <v>163</v>
      </c>
    </row>
    <row r="225" spans="1:10" ht="12.6" customHeight="1"/>
    <row r="226" spans="1:10" s="118" customFormat="1" ht="9.75" customHeight="1">
      <c r="A226" s="184"/>
      <c r="B226" s="184"/>
      <c r="C226" s="184"/>
      <c r="D226" s="183"/>
      <c r="E226" s="183"/>
      <c r="F226" s="183"/>
      <c r="G226" s="122"/>
      <c r="H226" s="122"/>
      <c r="I226" s="122"/>
      <c r="J226" s="122"/>
    </row>
    <row r="227" spans="1:10" s="118" customFormat="1" ht="9.75" customHeight="1">
      <c r="A227" s="138"/>
      <c r="B227" s="121"/>
      <c r="C227" s="121"/>
      <c r="D227" s="121"/>
      <c r="E227" s="121"/>
      <c r="F227" s="121"/>
      <c r="G227" s="122"/>
      <c r="H227" s="122"/>
      <c r="I227" s="122"/>
      <c r="J227" s="122"/>
    </row>
    <row r="228" spans="1:10">
      <c r="A228" s="138"/>
      <c r="B228" s="121"/>
      <c r="C228" s="121"/>
    </row>
    <row r="229" spans="1:10">
      <c r="A229" s="138"/>
      <c r="B229" s="121"/>
      <c r="C229" s="121"/>
    </row>
    <row r="234" spans="1:10">
      <c r="J234" s="118"/>
    </row>
    <row r="235" spans="1:10">
      <c r="J235" s="118"/>
    </row>
    <row r="236" spans="1:10">
      <c r="J236" s="118"/>
    </row>
    <row r="237" spans="1:10">
      <c r="J237" s="118"/>
    </row>
    <row r="238" spans="1:10">
      <c r="J238" s="118"/>
    </row>
    <row r="239" spans="1:10">
      <c r="J239" s="118"/>
    </row>
    <row r="240" spans="1:10">
      <c r="J240" s="118"/>
    </row>
    <row r="241" spans="10:10">
      <c r="J241" s="118"/>
    </row>
    <row r="242" spans="10:10">
      <c r="J242" s="118"/>
    </row>
    <row r="257" spans="4:6" ht="9" customHeight="1"/>
    <row r="259" spans="4:6">
      <c r="D259" s="120"/>
      <c r="E259" s="120"/>
      <c r="F259" s="120"/>
    </row>
  </sheetData>
  <mergeCells count="60">
    <mergeCell ref="B222:C222"/>
    <mergeCell ref="A209:E209"/>
    <mergeCell ref="A216:E216"/>
    <mergeCell ref="A218:E218"/>
    <mergeCell ref="A221:E221"/>
    <mergeCell ref="A188:E188"/>
    <mergeCell ref="A190:E190"/>
    <mergeCell ref="A199:C199"/>
    <mergeCell ref="A201:E201"/>
    <mergeCell ref="A207:C207"/>
    <mergeCell ref="A139:C139"/>
    <mergeCell ref="A147:C147"/>
    <mergeCell ref="A165:E165"/>
    <mergeCell ref="A170:E170"/>
    <mergeCell ref="A178:E178"/>
    <mergeCell ref="A90:F90"/>
    <mergeCell ref="A91:F91"/>
    <mergeCell ref="A101:C101"/>
    <mergeCell ref="A103:E103"/>
    <mergeCell ref="A123:C123"/>
    <mergeCell ref="A81:F81"/>
    <mergeCell ref="A84:C84"/>
    <mergeCell ref="A87:F87"/>
    <mergeCell ref="A88:F88"/>
    <mergeCell ref="A89:F89"/>
    <mergeCell ref="A74:E74"/>
    <mergeCell ref="A75:F75"/>
    <mergeCell ref="A76:F76"/>
    <mergeCell ref="A79:E79"/>
    <mergeCell ref="A80:F80"/>
    <mergeCell ref="A64:D64"/>
    <mergeCell ref="A66:C66"/>
    <mergeCell ref="A67:F67"/>
    <mergeCell ref="A68:F68"/>
    <mergeCell ref="A69:F69"/>
    <mergeCell ref="A53:F53"/>
    <mergeCell ref="A54:F54"/>
    <mergeCell ref="A55:F55"/>
    <mergeCell ref="A56:F56"/>
    <mergeCell ref="A62:D62"/>
    <mergeCell ref="A40:D40"/>
    <mergeCell ref="A42:E42"/>
    <mergeCell ref="A43:D43"/>
    <mergeCell ref="A47:D47"/>
    <mergeCell ref="A52:F52"/>
    <mergeCell ref="A13:F13"/>
    <mergeCell ref="A16:F16"/>
    <mergeCell ref="A17:F17"/>
    <mergeCell ref="A24:C24"/>
    <mergeCell ref="A39:D39"/>
    <mergeCell ref="A6:F6"/>
    <mergeCell ref="A7:F7"/>
    <mergeCell ref="A8:F8"/>
    <mergeCell ref="A9:F9"/>
    <mergeCell ref="A12:F12"/>
    <mergeCell ref="A1:F1"/>
    <mergeCell ref="A2:F2"/>
    <mergeCell ref="A3:F3"/>
    <mergeCell ref="A4:F4"/>
    <mergeCell ref="A5:F5"/>
  </mergeCells>
  <hyperlinks>
    <hyperlink ref="A125" location="AbaRemun" display="3.4.2. Remuneração do Capital" xr:uid="{00000000-0004-0000-0600-000000000000}"/>
    <hyperlink ref="A109" location="AbaDeprec" display="3.4.1. Depreciação" xr:uid="{00000000-0004-0000-0600-000001000000}"/>
  </hyperlinks>
  <pageMargins left="0.90551181102362199" right="0.511811023622047" top="0.74803149606299202" bottom="0.74803149606299202" header="0.31496062992126" footer="0.31496062992126"/>
  <pageSetup paperSize="9" scale="60" fitToHeight="0" orientation="portrait" r:id="rId1"/>
  <headerFooter alignWithMargins="0">
    <oddFooter>&amp;R&amp;P de &amp;N</oddFooter>
  </headerFooter>
  <rowBreaks count="4" manualBreakCount="4">
    <brk id="52" max="5" man="1"/>
    <brk id="68" max="5" man="1"/>
    <brk id="104" max="5" man="1"/>
    <brk id="170" max="5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57"/>
  <sheetViews>
    <sheetView topLeftCell="A7" workbookViewId="0">
      <selection activeCell="K26" sqref="K26"/>
    </sheetView>
  </sheetViews>
  <sheetFormatPr defaultColWidth="9.140625" defaultRowHeight="12.75"/>
  <cols>
    <col min="1" max="1" width="13.5703125" customWidth="1"/>
    <col min="2" max="2" width="58.28515625" customWidth="1"/>
    <col min="3" max="3" width="14.5703125" customWidth="1"/>
    <col min="4" max="4" width="37.28515625" customWidth="1"/>
    <col min="11" max="11" width="11" customWidth="1"/>
  </cols>
  <sheetData>
    <row r="1" spans="1:6" hidden="1">
      <c r="A1" s="86" t="s">
        <v>0</v>
      </c>
    </row>
    <row r="2" spans="1:6" hidden="1">
      <c r="A2" s="87" t="s">
        <v>253</v>
      </c>
    </row>
    <row r="3" spans="1:6" hidden="1"/>
    <row r="4" spans="1:6" ht="15.75">
      <c r="A4" s="922" t="s">
        <v>2</v>
      </c>
      <c r="B4" s="922"/>
      <c r="C4" s="922"/>
    </row>
    <row r="5" spans="1:6" ht="18">
      <c r="A5" s="923" t="s">
        <v>254</v>
      </c>
      <c r="B5" s="924"/>
      <c r="C5" s="925"/>
      <c r="D5" s="88"/>
      <c r="E5" s="88"/>
      <c r="F5" s="88"/>
    </row>
    <row r="6" spans="1:6" ht="15.75">
      <c r="A6" s="89" t="s">
        <v>255</v>
      </c>
      <c r="B6" s="90" t="s">
        <v>256</v>
      </c>
      <c r="C6" s="91" t="s">
        <v>257</v>
      </c>
      <c r="D6" s="92"/>
    </row>
    <row r="7" spans="1:6" ht="15">
      <c r="A7" s="93" t="s">
        <v>258</v>
      </c>
      <c r="B7" s="94" t="s">
        <v>259</v>
      </c>
      <c r="C7" s="95">
        <v>0.2</v>
      </c>
      <c r="D7" s="92"/>
    </row>
    <row r="8" spans="1:6" ht="15">
      <c r="A8" s="93" t="s">
        <v>260</v>
      </c>
      <c r="B8" s="94" t="s">
        <v>261</v>
      </c>
      <c r="C8" s="95">
        <v>1.4999999999999999E-2</v>
      </c>
      <c r="D8" s="92"/>
    </row>
    <row r="9" spans="1:6" ht="15">
      <c r="A9" s="93" t="s">
        <v>262</v>
      </c>
      <c r="B9" s="94" t="s">
        <v>263</v>
      </c>
      <c r="C9" s="95">
        <v>0.01</v>
      </c>
      <c r="D9" s="92"/>
    </row>
    <row r="10" spans="1:6" ht="15">
      <c r="A10" s="93" t="s">
        <v>264</v>
      </c>
      <c r="B10" s="94" t="s">
        <v>265</v>
      </c>
      <c r="C10" s="95">
        <v>2E-3</v>
      </c>
      <c r="D10" s="92"/>
    </row>
    <row r="11" spans="1:6" ht="15">
      <c r="A11" s="93" t="s">
        <v>266</v>
      </c>
      <c r="B11" s="94" t="s">
        <v>267</v>
      </c>
      <c r="C11" s="95">
        <v>6.0000000000000001E-3</v>
      </c>
      <c r="D11" s="92"/>
    </row>
    <row r="12" spans="1:6" ht="15">
      <c r="A12" s="93" t="s">
        <v>268</v>
      </c>
      <c r="B12" s="94" t="s">
        <v>269</v>
      </c>
      <c r="C12" s="95">
        <v>2.5000000000000001E-2</v>
      </c>
      <c r="D12" s="92"/>
    </row>
    <row r="13" spans="1:6" ht="15">
      <c r="A13" s="93" t="s">
        <v>270</v>
      </c>
      <c r="B13" s="94" t="s">
        <v>271</v>
      </c>
      <c r="C13" s="95">
        <v>0.03</v>
      </c>
      <c r="D13" s="92"/>
    </row>
    <row r="14" spans="1:6" ht="15">
      <c r="A14" s="93" t="s">
        <v>272</v>
      </c>
      <c r="B14" s="94" t="s">
        <v>273</v>
      </c>
      <c r="C14" s="95">
        <v>0.08</v>
      </c>
      <c r="D14" s="92"/>
    </row>
    <row r="15" spans="1:6" ht="15.75">
      <c r="A15" s="96" t="s">
        <v>274</v>
      </c>
      <c r="B15" s="97" t="s">
        <v>275</v>
      </c>
      <c r="C15" s="98">
        <f>SUM(C7:C14)</f>
        <v>0.36800000000000005</v>
      </c>
      <c r="D15" s="92"/>
    </row>
    <row r="16" spans="1:6" ht="15.75">
      <c r="A16" s="99"/>
      <c r="B16" s="100"/>
      <c r="C16" s="101"/>
      <c r="D16" s="92"/>
    </row>
    <row r="17" spans="1:8" ht="15">
      <c r="A17" s="93" t="s">
        <v>276</v>
      </c>
      <c r="B17" s="102" t="s">
        <v>277</v>
      </c>
      <c r="C17" s="95">
        <f>ROUND(IF('3.CAGED'!C39&gt;24,(1-12/'3.CAGED'!C39)*0.1111,0.1111-C26),4)</f>
        <v>6.1899999999999997E-2</v>
      </c>
      <c r="D17" s="92"/>
    </row>
    <row r="18" spans="1:8" ht="15">
      <c r="A18" s="93" t="s">
        <v>278</v>
      </c>
      <c r="B18" s="102" t="s">
        <v>279</v>
      </c>
      <c r="C18" s="95">
        <f>ROUND('3.CAGED'!C34/'3.CAGED'!C31,4)</f>
        <v>8.3299999999999999E-2</v>
      </c>
      <c r="D18" s="92"/>
    </row>
    <row r="19" spans="1:8" ht="15">
      <c r="A19" s="93" t="s">
        <v>280</v>
      </c>
      <c r="B19" s="102" t="s">
        <v>281</v>
      </c>
      <c r="C19" s="95">
        <v>5.9999999999999995E-4</v>
      </c>
      <c r="D19" s="92"/>
    </row>
    <row r="20" spans="1:8" ht="15">
      <c r="A20" s="93" t="s">
        <v>282</v>
      </c>
      <c r="B20" s="102" t="s">
        <v>283</v>
      </c>
      <c r="C20" s="95">
        <v>8.2000000000000007E-3</v>
      </c>
      <c r="D20" s="92"/>
    </row>
    <row r="21" spans="1:8" ht="15">
      <c r="A21" s="93" t="s">
        <v>284</v>
      </c>
      <c r="B21" s="102" t="s">
        <v>285</v>
      </c>
      <c r="C21" s="95">
        <v>3.0999999999999999E-3</v>
      </c>
      <c r="D21" s="92"/>
    </row>
    <row r="22" spans="1:8" ht="15">
      <c r="A22" s="93" t="s">
        <v>286</v>
      </c>
      <c r="B22" s="102" t="s">
        <v>287</v>
      </c>
      <c r="C22" s="95">
        <v>1.66E-2</v>
      </c>
      <c r="D22" s="92"/>
    </row>
    <row r="23" spans="1:8" ht="15.75">
      <c r="A23" s="96" t="s">
        <v>288</v>
      </c>
      <c r="B23" s="97" t="s">
        <v>289</v>
      </c>
      <c r="C23" s="98">
        <f>SUM(C17:C22)</f>
        <v>0.17369999999999999</v>
      </c>
      <c r="D23" s="103"/>
    </row>
    <row r="24" spans="1:8" ht="15.75">
      <c r="A24" s="99"/>
      <c r="B24" s="100"/>
      <c r="C24" s="101"/>
      <c r="D24" s="103"/>
    </row>
    <row r="25" spans="1:8" ht="15">
      <c r="A25" s="93" t="s">
        <v>290</v>
      </c>
      <c r="B25" s="94" t="s">
        <v>291</v>
      </c>
      <c r="C25" s="95">
        <f>ROUND(('3.CAGED'!C38)*'3.CAGED'!C30/'3.CAGED'!C31,4)</f>
        <v>2.5600000000000001E-2</v>
      </c>
      <c r="D25" s="92"/>
      <c r="E25" s="104"/>
    </row>
    <row r="26" spans="1:8" ht="15">
      <c r="A26" s="93" t="s">
        <v>292</v>
      </c>
      <c r="B26" s="94" t="s">
        <v>293</v>
      </c>
      <c r="C26" s="95">
        <f>ROUND(IF('3.CAGED'!C39&gt;12,12/'3.CAGED'!C39*0.1111,0.1111),4)</f>
        <v>4.9200000000000001E-2</v>
      </c>
      <c r="D26" s="92"/>
      <c r="H26" s="105"/>
    </row>
    <row r="27" spans="1:8" ht="15">
      <c r="A27" s="93" t="s">
        <v>294</v>
      </c>
      <c r="B27" s="94" t="s">
        <v>295</v>
      </c>
      <c r="C27" s="376">
        <f>C25*C26</f>
        <v>1.2595200000000001E-3</v>
      </c>
      <c r="D27" s="92"/>
    </row>
    <row r="28" spans="1:8" ht="15">
      <c r="A28" s="93" t="s">
        <v>296</v>
      </c>
      <c r="B28" s="94" t="s">
        <v>297</v>
      </c>
      <c r="C28" s="95">
        <f>ROUND(('3.CAGED'!C31+'3.CAGED'!C32+'3.CAGED'!C34)/'3.CAGED'!C29*'3.CAGED'!C36*'3.CAGED'!C37*'3.CAGED'!C30/'3.CAGED'!C31,4)</f>
        <v>2.0500000000000001E-2</v>
      </c>
      <c r="D28" s="92"/>
      <c r="G28" s="104"/>
    </row>
    <row r="29" spans="1:8" ht="15">
      <c r="A29" s="93" t="s">
        <v>298</v>
      </c>
      <c r="B29" s="94" t="s">
        <v>299</v>
      </c>
      <c r="C29" s="95">
        <f>ROUND(('3.CAGED'!C33/'3.CAGED'!C31)*'3.CAGED'!C30/12,4)</f>
        <v>1.8E-3</v>
      </c>
      <c r="D29" s="92"/>
    </row>
    <row r="30" spans="1:8" ht="15.75">
      <c r="A30" s="96" t="s">
        <v>300</v>
      </c>
      <c r="B30" s="97" t="s">
        <v>301</v>
      </c>
      <c r="C30" s="98">
        <f>SUM(C25:C29)</f>
        <v>9.8359520000000006E-2</v>
      </c>
      <c r="D30" s="103"/>
    </row>
    <row r="31" spans="1:8" ht="15.75">
      <c r="A31" s="99"/>
      <c r="B31" s="100"/>
      <c r="C31" s="101"/>
      <c r="D31" s="103"/>
    </row>
    <row r="32" spans="1:8" ht="15">
      <c r="A32" s="93" t="s">
        <v>302</v>
      </c>
      <c r="B32" s="94" t="s">
        <v>303</v>
      </c>
      <c r="C32" s="95">
        <f>ROUND(C15*C23,4)</f>
        <v>6.3899999999999998E-2</v>
      </c>
      <c r="D32" s="92"/>
    </row>
    <row r="33" spans="1:4" ht="15">
      <c r="A33" s="93" t="s">
        <v>304</v>
      </c>
      <c r="B33" s="377" t="s">
        <v>407</v>
      </c>
      <c r="C33" s="95">
        <f>ROUND((C25*C14),4)</f>
        <v>2E-3</v>
      </c>
      <c r="D33" s="92"/>
    </row>
    <row r="34" spans="1:4" ht="15.75">
      <c r="A34" s="96" t="s">
        <v>305</v>
      </c>
      <c r="B34" s="97" t="s">
        <v>306</v>
      </c>
      <c r="C34" s="98">
        <f>SUM(C32:C33)</f>
        <v>6.59E-2</v>
      </c>
      <c r="D34" s="103"/>
    </row>
    <row r="35" spans="1:4" ht="15.75">
      <c r="A35" s="106"/>
      <c r="B35" s="107" t="s">
        <v>307</v>
      </c>
      <c r="C35" s="108">
        <f>C34+C30+C23+C15</f>
        <v>0.70595951999999995</v>
      </c>
      <c r="D35" s="748"/>
    </row>
    <row r="36" spans="1:4" ht="15">
      <c r="A36" s="92"/>
      <c r="B36" s="109"/>
      <c r="C36" s="110"/>
      <c r="D36" s="748"/>
    </row>
    <row r="37" spans="1:4" ht="14.25">
      <c r="A37" s="92"/>
      <c r="B37" s="111"/>
      <c r="C37" s="112"/>
      <c r="D37" s="748"/>
    </row>
    <row r="38" spans="1:4" ht="14.25">
      <c r="A38" s="92"/>
      <c r="B38" s="92"/>
      <c r="C38" s="112"/>
      <c r="D38" s="748"/>
    </row>
    <row r="39" spans="1:4" ht="14.25">
      <c r="A39" s="92"/>
      <c r="B39" s="760"/>
      <c r="C39" s="760"/>
      <c r="D39" s="92"/>
    </row>
    <row r="40" spans="1:4" ht="14.25">
      <c r="A40" s="92"/>
      <c r="B40" s="760"/>
      <c r="C40" s="760"/>
      <c r="D40" s="92"/>
    </row>
    <row r="41" spans="1:4" ht="14.25">
      <c r="A41" s="92"/>
      <c r="B41" s="760"/>
      <c r="C41" s="760"/>
      <c r="D41" s="92"/>
    </row>
    <row r="42" spans="1:4" ht="15">
      <c r="A42" s="103"/>
      <c r="B42" s="109"/>
      <c r="C42" s="110"/>
      <c r="D42" s="103"/>
    </row>
    <row r="43" spans="1:4" ht="16.5">
      <c r="A43" s="113"/>
    </row>
    <row r="44" spans="1:4">
      <c r="A44" s="114"/>
      <c r="B44" s="115"/>
      <c r="C44" s="115"/>
    </row>
    <row r="45" spans="1:4" ht="14.25">
      <c r="A45" s="92"/>
      <c r="B45" s="111"/>
      <c r="C45" s="115"/>
    </row>
    <row r="46" spans="1:4" ht="14.25">
      <c r="A46" s="92"/>
      <c r="B46" s="111"/>
      <c r="C46" s="92"/>
    </row>
    <row r="47" spans="1:4" ht="14.25">
      <c r="A47" s="92"/>
      <c r="B47" s="112"/>
      <c r="C47" s="115"/>
    </row>
    <row r="48" spans="1:4" ht="14.25">
      <c r="A48" s="92"/>
      <c r="B48" s="111"/>
      <c r="C48" s="92"/>
    </row>
    <row r="49" spans="1:3" ht="14.25">
      <c r="A49" s="92"/>
      <c r="B49" s="112"/>
      <c r="C49" s="115"/>
    </row>
    <row r="50" spans="1:3" ht="14.25">
      <c r="A50" s="92"/>
      <c r="B50" s="111"/>
      <c r="C50" s="92"/>
    </row>
    <row r="51" spans="1:3" ht="14.25">
      <c r="A51" s="92"/>
      <c r="B51" s="112"/>
      <c r="C51" s="115"/>
    </row>
    <row r="52" spans="1:3" ht="14.25">
      <c r="A52" s="92"/>
      <c r="B52" s="111"/>
      <c r="C52" s="92"/>
    </row>
    <row r="53" spans="1:3" ht="14.25">
      <c r="A53" s="92"/>
      <c r="B53" s="112"/>
      <c r="C53" s="115"/>
    </row>
    <row r="54" spans="1:3" ht="16.5">
      <c r="A54" s="113"/>
    </row>
    <row r="57" spans="1:3">
      <c r="A57" s="116"/>
    </row>
  </sheetData>
  <mergeCells count="5">
    <mergeCell ref="A4:C4"/>
    <mergeCell ref="A5:C5"/>
    <mergeCell ref="B39:C39"/>
    <mergeCell ref="B40:C40"/>
    <mergeCell ref="B41:C41"/>
  </mergeCells>
  <pageMargins left="1.69291338582677" right="0.511811023622047" top="1.5354330708661399" bottom="0.74803149606299202" header="0.31496062992126" footer="0.31496062992126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M45"/>
  <sheetViews>
    <sheetView topLeftCell="A16" workbookViewId="0">
      <selection activeCell="G14" sqref="G14"/>
    </sheetView>
  </sheetViews>
  <sheetFormatPr defaultColWidth="9.140625" defaultRowHeight="15.75"/>
  <cols>
    <col min="1" max="1" width="8.5703125" style="2" customWidth="1"/>
    <col min="2" max="2" width="67.140625" style="2" customWidth="1"/>
    <col min="3" max="3" width="17.7109375" style="2" customWidth="1"/>
    <col min="4" max="4" width="10.28515625" style="2" customWidth="1"/>
    <col min="5" max="5" width="13.7109375" style="2" customWidth="1"/>
    <col min="6" max="6" width="14.42578125" style="2" customWidth="1"/>
    <col min="7" max="7" width="12.7109375" style="2" customWidth="1"/>
    <col min="8" max="8" width="4.42578125" style="2" customWidth="1"/>
    <col min="9" max="9" width="6.85546875" style="2" customWidth="1"/>
    <col min="10" max="10" width="3.28515625" style="2" customWidth="1"/>
    <col min="11" max="11" width="15.5703125" style="2" customWidth="1"/>
    <col min="12" max="13" width="9.140625" style="2"/>
    <col min="14" max="16384" width="9.140625" style="3"/>
  </cols>
  <sheetData>
    <row r="1" spans="1:12" ht="33.75" customHeight="1">
      <c r="A1" s="926" t="s">
        <v>308</v>
      </c>
      <c r="B1" s="926"/>
      <c r="C1" s="926"/>
      <c r="D1" s="926"/>
      <c r="E1" s="926"/>
      <c r="F1" s="926"/>
      <c r="G1" s="926"/>
      <c r="H1" s="926"/>
      <c r="I1" s="926"/>
      <c r="J1" s="926"/>
      <c r="K1" s="926"/>
      <c r="L1" s="926"/>
    </row>
    <row r="2" spans="1:12" ht="20.25" customHeight="1"/>
    <row r="3" spans="1:12">
      <c r="A3" s="927" t="s">
        <v>309</v>
      </c>
      <c r="B3" s="927"/>
      <c r="C3" s="927"/>
      <c r="D3" s="927"/>
      <c r="E3" s="927"/>
      <c r="F3" s="927"/>
      <c r="G3" s="927"/>
      <c r="H3" s="927"/>
      <c r="I3" s="927"/>
      <c r="J3" s="927"/>
      <c r="K3" s="927"/>
      <c r="L3" s="927"/>
    </row>
    <row r="4" spans="1:12">
      <c r="A4" s="928" t="s">
        <v>310</v>
      </c>
      <c r="B4" s="928"/>
      <c r="C4" s="928"/>
      <c r="D4" s="928"/>
      <c r="E4" s="928"/>
      <c r="F4" s="928"/>
      <c r="G4" s="928"/>
      <c r="H4" s="928"/>
      <c r="I4" s="928"/>
      <c r="J4" s="928"/>
      <c r="K4" s="928"/>
      <c r="L4" s="928"/>
    </row>
    <row r="5" spans="1:12" ht="30.75" customHeight="1">
      <c r="A5" s="929" t="s">
        <v>311</v>
      </c>
      <c r="B5" s="929"/>
      <c r="C5" s="929"/>
      <c r="D5" s="929"/>
      <c r="E5" s="929"/>
      <c r="F5" s="929"/>
      <c r="G5" s="929"/>
      <c r="H5" s="929"/>
      <c r="I5" s="929"/>
      <c r="J5" s="929"/>
      <c r="K5" s="929"/>
      <c r="L5" s="929"/>
    </row>
    <row r="6" spans="1:12">
      <c r="A6" s="928" t="s">
        <v>312</v>
      </c>
      <c r="B6" s="928"/>
      <c r="C6" s="928"/>
      <c r="D6" s="928"/>
      <c r="E6" s="928"/>
      <c r="F6" s="928"/>
      <c r="G6" s="928"/>
      <c r="H6" s="928"/>
      <c r="I6" s="928"/>
      <c r="J6" s="928"/>
      <c r="K6" s="928"/>
      <c r="L6" s="928"/>
    </row>
    <row r="7" spans="1:12" ht="31.5" customHeight="1">
      <c r="A7" s="929" t="s">
        <v>313</v>
      </c>
      <c r="B7" s="929"/>
      <c r="C7" s="929"/>
      <c r="D7" s="929"/>
      <c r="E7" s="929"/>
      <c r="F7" s="929"/>
      <c r="G7" s="929"/>
      <c r="H7" s="929"/>
      <c r="I7" s="929"/>
      <c r="J7" s="929"/>
      <c r="K7" s="929"/>
      <c r="L7" s="929"/>
    </row>
    <row r="8" spans="1:12">
      <c r="A8" s="928" t="s">
        <v>314</v>
      </c>
      <c r="B8" s="928"/>
      <c r="C8" s="928"/>
      <c r="D8" s="928"/>
      <c r="E8" s="928"/>
      <c r="F8" s="928"/>
      <c r="G8" s="928"/>
      <c r="H8" s="928"/>
      <c r="I8" s="928"/>
      <c r="J8" s="928"/>
      <c r="K8" s="928"/>
      <c r="L8" s="928"/>
    </row>
    <row r="9" spans="1:12">
      <c r="A9" s="928" t="s">
        <v>315</v>
      </c>
      <c r="B9" s="928"/>
      <c r="C9" s="928"/>
      <c r="D9" s="928"/>
      <c r="E9" s="928"/>
      <c r="F9" s="928"/>
      <c r="G9" s="928"/>
      <c r="H9" s="928"/>
      <c r="I9" s="928"/>
      <c r="J9" s="928"/>
      <c r="K9" s="928"/>
      <c r="L9" s="928"/>
    </row>
    <row r="10" spans="1:12" ht="16.5" thickBot="1">
      <c r="B10" s="922" t="s">
        <v>2</v>
      </c>
      <c r="C10" s="922"/>
    </row>
    <row r="11" spans="1:12">
      <c r="B11" s="930" t="s">
        <v>316</v>
      </c>
      <c r="C11" s="931"/>
    </row>
    <row r="12" spans="1:12">
      <c r="B12" s="932" t="s">
        <v>317</v>
      </c>
      <c r="C12" s="933"/>
    </row>
    <row r="13" spans="1:12">
      <c r="B13" s="363" t="s">
        <v>318</v>
      </c>
      <c r="C13" s="364">
        <v>2100</v>
      </c>
    </row>
    <row r="14" spans="1:12">
      <c r="B14" s="363" t="s">
        <v>319</v>
      </c>
      <c r="C14" s="364">
        <v>2031</v>
      </c>
    </row>
    <row r="15" spans="1:12">
      <c r="B15" s="14" t="s">
        <v>320</v>
      </c>
      <c r="C15" s="365">
        <v>44</v>
      </c>
    </row>
    <row r="16" spans="1:12">
      <c r="B16" s="14" t="s">
        <v>321</v>
      </c>
      <c r="C16" s="365">
        <v>1192</v>
      </c>
    </row>
    <row r="17" spans="1:3">
      <c r="B17" s="14" t="s">
        <v>322</v>
      </c>
      <c r="C17" s="365">
        <v>372</v>
      </c>
    </row>
    <row r="18" spans="1:3">
      <c r="B18" s="14" t="s">
        <v>323</v>
      </c>
      <c r="C18" s="365">
        <v>22</v>
      </c>
    </row>
    <row r="19" spans="1:3">
      <c r="B19" s="14" t="s">
        <v>324</v>
      </c>
      <c r="C19" s="365">
        <v>350</v>
      </c>
    </row>
    <row r="20" spans="1:3">
      <c r="B20" s="14" t="s">
        <v>325</v>
      </c>
      <c r="C20" s="365">
        <v>1</v>
      </c>
    </row>
    <row r="21" spans="1:3">
      <c r="B21" s="14" t="s">
        <v>326</v>
      </c>
      <c r="C21" s="365">
        <v>30</v>
      </c>
    </row>
    <row r="22" spans="1:3">
      <c r="B22" s="14" t="s">
        <v>327</v>
      </c>
      <c r="C22" s="365">
        <v>0</v>
      </c>
    </row>
    <row r="23" spans="1:3">
      <c r="B23" s="366" t="s">
        <v>406</v>
      </c>
      <c r="C23" s="365">
        <v>0</v>
      </c>
    </row>
    <row r="24" spans="1:3">
      <c r="A24" s="2" t="s">
        <v>328</v>
      </c>
      <c r="B24" s="934" t="s">
        <v>329</v>
      </c>
      <c r="C24" s="935"/>
    </row>
    <row r="25" spans="1:3">
      <c r="B25" s="367" t="s">
        <v>403</v>
      </c>
      <c r="C25" s="368">
        <v>4625</v>
      </c>
    </row>
    <row r="26" spans="1:3">
      <c r="B26" s="369" t="s">
        <v>404</v>
      </c>
      <c r="C26" s="370">
        <v>4694</v>
      </c>
    </row>
    <row r="27" spans="1:3">
      <c r="B27" s="369" t="s">
        <v>405</v>
      </c>
      <c r="C27" s="371">
        <f>C13-C14</f>
        <v>69</v>
      </c>
    </row>
    <row r="28" spans="1:3">
      <c r="B28" s="372"/>
      <c r="C28" s="373"/>
    </row>
    <row r="29" spans="1:3">
      <c r="B29" s="79" t="s">
        <v>330</v>
      </c>
      <c r="C29" s="362">
        <f>MEDIAN(C13,C14)/MEDIAN(C25,C26)</f>
        <v>0.44328790642772831</v>
      </c>
    </row>
    <row r="30" spans="1:3">
      <c r="B30" s="80" t="s">
        <v>331</v>
      </c>
      <c r="C30" s="361">
        <f>C16/MEDIAN(C25,C26)</f>
        <v>0.25582144006867691</v>
      </c>
    </row>
    <row r="31" spans="1:3">
      <c r="B31" s="80" t="s">
        <v>332</v>
      </c>
      <c r="C31" s="81">
        <v>360</v>
      </c>
    </row>
    <row r="32" spans="1:3">
      <c r="B32" s="80" t="s">
        <v>333</v>
      </c>
      <c r="C32" s="81">
        <v>10</v>
      </c>
    </row>
    <row r="33" spans="1:13">
      <c r="B33" s="80" t="s">
        <v>334</v>
      </c>
      <c r="C33" s="81">
        <v>30</v>
      </c>
    </row>
    <row r="34" spans="1:13">
      <c r="B34" s="80" t="s">
        <v>335</v>
      </c>
      <c r="C34" s="81">
        <v>30</v>
      </c>
    </row>
    <row r="35" spans="1:13" s="1" customFormat="1">
      <c r="A35" s="13"/>
      <c r="B35" s="80" t="s">
        <v>336</v>
      </c>
      <c r="C35" s="82">
        <f>MEDIAN(C25,C26)</f>
        <v>4659.5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s="1" customFormat="1">
      <c r="A36" s="13"/>
      <c r="B36" s="80" t="s">
        <v>273</v>
      </c>
      <c r="C36" s="83">
        <v>0.08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3" s="1" customFormat="1">
      <c r="A37" s="13"/>
      <c r="B37" s="80" t="s">
        <v>337</v>
      </c>
      <c r="C37" s="83">
        <v>0.4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3" s="1" customFormat="1" ht="16.5" thickBot="1">
      <c r="A38" s="13"/>
      <c r="B38" s="374" t="s">
        <v>338</v>
      </c>
      <c r="C38" s="375">
        <f>30+(3*TRUNC(1/C29))</f>
        <v>36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spans="1:13" s="1" customFormat="1" ht="16.5" thickBot="1">
      <c r="A39" s="13"/>
      <c r="B39" s="84" t="s">
        <v>339</v>
      </c>
      <c r="C39" s="85">
        <f>12/C29</f>
        <v>27.070442992011618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1" spans="1:13">
      <c r="B41" s="28"/>
    </row>
    <row r="43" spans="1:13">
      <c r="B43" s="760"/>
      <c r="C43" s="760"/>
    </row>
    <row r="44" spans="1:13">
      <c r="B44" s="760"/>
      <c r="C44" s="760"/>
    </row>
    <row r="45" spans="1:13">
      <c r="B45" s="760"/>
      <c r="C45" s="760"/>
    </row>
  </sheetData>
  <mergeCells count="15">
    <mergeCell ref="B45:C45"/>
    <mergeCell ref="B12:C12"/>
    <mergeCell ref="B24:C24"/>
    <mergeCell ref="B43:C43"/>
    <mergeCell ref="B44:C44"/>
    <mergeCell ref="A7:L7"/>
    <mergeCell ref="A8:L8"/>
    <mergeCell ref="A9:L9"/>
    <mergeCell ref="B10:C10"/>
    <mergeCell ref="B11:C11"/>
    <mergeCell ref="A1:L1"/>
    <mergeCell ref="A3:L3"/>
    <mergeCell ref="A4:L4"/>
    <mergeCell ref="A5:L5"/>
    <mergeCell ref="A6:L6"/>
  </mergeCells>
  <pageMargins left="0.90551181102362199" right="0.511811023622047" top="0.74803149606299202" bottom="0.74803149606299202" header="0.31496062992126" footer="0.31496062992126"/>
  <pageSetup paperSize="9" scale="4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34"/>
  <sheetViews>
    <sheetView workbookViewId="0">
      <selection activeCell="E10" sqref="E10"/>
    </sheetView>
  </sheetViews>
  <sheetFormatPr defaultColWidth="9.140625" defaultRowHeight="15.75"/>
  <cols>
    <col min="1" max="1" width="41.85546875" style="2" customWidth="1"/>
    <col min="2" max="2" width="5.5703125" style="2" customWidth="1"/>
    <col min="3" max="3" width="10.5703125" style="2" customWidth="1"/>
    <col min="4" max="4" width="9.85546875" style="2" customWidth="1"/>
    <col min="5" max="5" width="9" style="31" customWidth="1"/>
    <col min="6" max="6" width="9.85546875" style="2" customWidth="1"/>
    <col min="7" max="7" width="9.140625" style="2"/>
    <col min="8" max="16384" width="9.140625" style="3"/>
  </cols>
  <sheetData>
    <row r="1" spans="1:8">
      <c r="A1" s="53"/>
      <c r="B1" s="53"/>
      <c r="C1" s="53"/>
      <c r="D1" s="53"/>
      <c r="E1" s="53"/>
      <c r="F1" s="53"/>
    </row>
    <row r="2" spans="1:8">
      <c r="A2" s="922" t="s">
        <v>2</v>
      </c>
      <c r="B2" s="922"/>
      <c r="C2" s="922"/>
      <c r="D2" s="922"/>
      <c r="E2" s="922"/>
      <c r="F2" s="922"/>
    </row>
    <row r="3" spans="1:8">
      <c r="A3" s="936" t="s">
        <v>340</v>
      </c>
      <c r="B3" s="937"/>
      <c r="C3" s="937"/>
      <c r="D3" s="937"/>
      <c r="E3" s="937"/>
      <c r="F3" s="938"/>
    </row>
    <row r="4" spans="1:8" s="52" customFormat="1" ht="12" customHeight="1">
      <c r="A4" s="944" t="s">
        <v>256</v>
      </c>
      <c r="B4" s="946" t="s">
        <v>341</v>
      </c>
      <c r="C4" s="946" t="s">
        <v>257</v>
      </c>
      <c r="D4" s="939" t="s">
        <v>342</v>
      </c>
      <c r="E4" s="939"/>
      <c r="F4" s="940"/>
      <c r="G4" s="54"/>
    </row>
    <row r="5" spans="1:8" s="52" customFormat="1" ht="15.75" customHeight="1">
      <c r="A5" s="945"/>
      <c r="B5" s="947"/>
      <c r="C5" s="947"/>
      <c r="D5" s="55" t="s">
        <v>343</v>
      </c>
      <c r="E5" s="55" t="s">
        <v>344</v>
      </c>
      <c r="F5" s="56" t="s">
        <v>345</v>
      </c>
      <c r="G5" s="54"/>
    </row>
    <row r="6" spans="1:8">
      <c r="A6" s="57" t="s">
        <v>346</v>
      </c>
      <c r="B6" s="58" t="s">
        <v>347</v>
      </c>
      <c r="C6" s="59">
        <v>5.0799999999999998E-2</v>
      </c>
      <c r="D6" s="60">
        <v>2.9700000000000001E-2</v>
      </c>
      <c r="E6" s="60">
        <v>5.0799999999999998E-2</v>
      </c>
      <c r="F6" s="61">
        <v>6.2700000000000006E-2</v>
      </c>
    </row>
    <row r="7" spans="1:8">
      <c r="A7" s="62" t="s">
        <v>348</v>
      </c>
      <c r="B7" s="63" t="s">
        <v>349</v>
      </c>
      <c r="C7" s="64">
        <v>1.3299999999999999E-2</v>
      </c>
      <c r="D7" s="65">
        <f>0.3%+0.56%</f>
        <v>8.6E-3</v>
      </c>
      <c r="E7" s="65">
        <f>0.48%+0.85%</f>
        <v>1.3299999999999999E-2</v>
      </c>
      <c r="F7" s="66">
        <f>0.82%+0.89%</f>
        <v>1.7099999999999997E-2</v>
      </c>
    </row>
    <row r="8" spans="1:8">
      <c r="A8" s="62" t="s">
        <v>350</v>
      </c>
      <c r="B8" s="63" t="s">
        <v>351</v>
      </c>
      <c r="C8" s="64">
        <v>0.1085</v>
      </c>
      <c r="D8" s="65">
        <v>7.7799999999999994E-2</v>
      </c>
      <c r="E8" s="65">
        <v>0.1085</v>
      </c>
      <c r="F8" s="66">
        <v>0.13550000000000001</v>
      </c>
    </row>
    <row r="9" spans="1:8">
      <c r="A9" s="62" t="s">
        <v>352</v>
      </c>
      <c r="B9" s="63" t="s">
        <v>353</v>
      </c>
      <c r="C9" s="67">
        <f>(1+E9)^(E10/252)-1</f>
        <v>0</v>
      </c>
      <c r="D9" s="65"/>
      <c r="E9" s="68">
        <v>0.14000000000000001</v>
      </c>
      <c r="F9" s="66"/>
    </row>
    <row r="10" spans="1:8">
      <c r="A10" s="62" t="s">
        <v>354</v>
      </c>
      <c r="B10" s="948" t="s">
        <v>355</v>
      </c>
      <c r="C10" s="64">
        <v>0.03</v>
      </c>
      <c r="D10" s="63"/>
      <c r="E10" s="69">
        <v>0</v>
      </c>
      <c r="F10" s="70"/>
    </row>
    <row r="11" spans="1:8">
      <c r="A11" s="71" t="s">
        <v>356</v>
      </c>
      <c r="B11" s="949"/>
      <c r="C11" s="73">
        <v>3.6499999999999998E-2</v>
      </c>
      <c r="D11" s="72"/>
      <c r="E11" s="72"/>
      <c r="F11" s="74"/>
      <c r="H11" s="75"/>
    </row>
    <row r="12" spans="1:8">
      <c r="A12" s="941" t="s">
        <v>357</v>
      </c>
      <c r="B12" s="942"/>
      <c r="C12" s="942"/>
      <c r="D12" s="942"/>
      <c r="E12" s="942"/>
      <c r="F12" s="943"/>
    </row>
    <row r="13" spans="1:8">
      <c r="A13" s="941" t="s">
        <v>358</v>
      </c>
      <c r="B13" s="942"/>
      <c r="C13" s="942"/>
      <c r="D13" s="942"/>
      <c r="E13" s="942"/>
      <c r="F13" s="943"/>
    </row>
    <row r="14" spans="1:8">
      <c r="A14" s="76" t="s">
        <v>359</v>
      </c>
      <c r="B14" s="950">
        <f>ROUND((((1+C6+C7)*(1+C8)*(1+C9))/(1-(C10+C11))-1),4)</f>
        <v>0.2636</v>
      </c>
      <c r="C14" s="951"/>
      <c r="D14" s="77">
        <v>0.21429999999999999</v>
      </c>
      <c r="E14" s="77">
        <v>0.2717</v>
      </c>
      <c r="F14" s="78">
        <v>0.3362</v>
      </c>
    </row>
    <row r="16" spans="1:8">
      <c r="A16" s="952"/>
      <c r="B16" s="952"/>
      <c r="C16" s="952"/>
      <c r="D16" s="952"/>
      <c r="E16" s="952"/>
      <c r="F16" s="952"/>
    </row>
    <row r="17" spans="1:6">
      <c r="A17" s="936" t="s">
        <v>360</v>
      </c>
      <c r="B17" s="937"/>
      <c r="C17" s="937"/>
      <c r="D17" s="937"/>
      <c r="E17" s="937"/>
      <c r="F17" s="938"/>
    </row>
    <row r="18" spans="1:6">
      <c r="A18" s="944" t="s">
        <v>256</v>
      </c>
      <c r="B18" s="946" t="s">
        <v>341</v>
      </c>
      <c r="C18" s="946" t="s">
        <v>257</v>
      </c>
      <c r="D18" s="939" t="s">
        <v>342</v>
      </c>
      <c r="E18" s="939"/>
      <c r="F18" s="940"/>
    </row>
    <row r="19" spans="1:6">
      <c r="A19" s="945"/>
      <c r="B19" s="947"/>
      <c r="C19" s="947"/>
      <c r="D19" s="55" t="s">
        <v>343</v>
      </c>
      <c r="E19" s="55" t="s">
        <v>344</v>
      </c>
      <c r="F19" s="56" t="s">
        <v>345</v>
      </c>
    </row>
    <row r="20" spans="1:6">
      <c r="A20" s="57" t="s">
        <v>346</v>
      </c>
      <c r="B20" s="58" t="s">
        <v>347</v>
      </c>
      <c r="C20" s="59">
        <v>5.0799999999999998E-2</v>
      </c>
      <c r="D20" s="60">
        <v>2.9700000000000001E-2</v>
      </c>
      <c r="E20" s="60">
        <v>5.0799999999999998E-2</v>
      </c>
      <c r="F20" s="61">
        <v>6.2700000000000006E-2</v>
      </c>
    </row>
    <row r="21" spans="1:6">
      <c r="A21" s="62" t="s">
        <v>348</v>
      </c>
      <c r="B21" s="63" t="s">
        <v>349</v>
      </c>
      <c r="C21" s="64">
        <v>1.3299999999999999E-2</v>
      </c>
      <c r="D21" s="65">
        <f>0.3%+0.56%</f>
        <v>8.6E-3</v>
      </c>
      <c r="E21" s="65">
        <f>0.48%+0.85%</f>
        <v>1.3299999999999999E-2</v>
      </c>
      <c r="F21" s="66">
        <f>0.82%+0.89%</f>
        <v>1.7099999999999997E-2</v>
      </c>
    </row>
    <row r="22" spans="1:6">
      <c r="A22" s="62" t="s">
        <v>350</v>
      </c>
      <c r="B22" s="63" t="s">
        <v>351</v>
      </c>
      <c r="C22" s="64">
        <v>0</v>
      </c>
      <c r="D22" s="65">
        <v>7.7799999999999994E-2</v>
      </c>
      <c r="E22" s="65">
        <v>0.1085</v>
      </c>
      <c r="F22" s="66">
        <v>0.13550000000000001</v>
      </c>
    </row>
    <row r="23" spans="1:6">
      <c r="A23" s="62" t="s">
        <v>352</v>
      </c>
      <c r="B23" s="63" t="s">
        <v>353</v>
      </c>
      <c r="C23" s="67">
        <f>(1+E23)^(E24/252)-1</f>
        <v>0</v>
      </c>
      <c r="D23" s="65"/>
      <c r="E23" s="68">
        <v>0.14000000000000001</v>
      </c>
      <c r="F23" s="66"/>
    </row>
    <row r="24" spans="1:6">
      <c r="A24" s="62" t="s">
        <v>354</v>
      </c>
      <c r="B24" s="948" t="s">
        <v>355</v>
      </c>
      <c r="C24" s="64">
        <v>0.03</v>
      </c>
      <c r="D24" s="63"/>
      <c r="E24" s="69">
        <v>0</v>
      </c>
      <c r="F24" s="70"/>
    </row>
    <row r="25" spans="1:6">
      <c r="A25" s="71" t="s">
        <v>356</v>
      </c>
      <c r="B25" s="949"/>
      <c r="C25" s="73">
        <v>3.6499999999999998E-2</v>
      </c>
      <c r="D25" s="72"/>
      <c r="E25" s="72"/>
      <c r="F25" s="74"/>
    </row>
    <row r="26" spans="1:6">
      <c r="A26" s="941" t="s">
        <v>357</v>
      </c>
      <c r="B26" s="942"/>
      <c r="C26" s="942"/>
      <c r="D26" s="942"/>
      <c r="E26" s="942"/>
      <c r="F26" s="943"/>
    </row>
    <row r="27" spans="1:6">
      <c r="A27" s="941" t="s">
        <v>358</v>
      </c>
      <c r="B27" s="942"/>
      <c r="C27" s="942"/>
      <c r="D27" s="942"/>
      <c r="E27" s="942"/>
      <c r="F27" s="943"/>
    </row>
    <row r="28" spans="1:6">
      <c r="A28" s="76" t="s">
        <v>359</v>
      </c>
      <c r="B28" s="950">
        <f>ROUND((((1+C20+C21)*(1+C22)*(1+C23))/(1-(C24+C25))-1),4)</f>
        <v>0.1399</v>
      </c>
      <c r="C28" s="951"/>
      <c r="D28" s="77">
        <v>0.21429999999999999</v>
      </c>
      <c r="E28" s="77">
        <v>0.2717</v>
      </c>
      <c r="F28" s="78">
        <v>0.3362</v>
      </c>
    </row>
    <row r="32" spans="1:6">
      <c r="C32" s="760"/>
      <c r="D32" s="760"/>
    </row>
    <row r="33" spans="3:4">
      <c r="C33" s="760"/>
      <c r="D33" s="760"/>
    </row>
    <row r="34" spans="3:4">
      <c r="C34" s="760"/>
      <c r="D34" s="760"/>
    </row>
  </sheetData>
  <mergeCells count="23">
    <mergeCell ref="A27:F27"/>
    <mergeCell ref="B28:C28"/>
    <mergeCell ref="C32:D32"/>
    <mergeCell ref="C33:D33"/>
    <mergeCell ref="C34:D34"/>
    <mergeCell ref="B14:C14"/>
    <mergeCell ref="A16:F16"/>
    <mergeCell ref="A17:F17"/>
    <mergeCell ref="D18:F18"/>
    <mergeCell ref="A26:F26"/>
    <mergeCell ref="A18:A19"/>
    <mergeCell ref="B18:B19"/>
    <mergeCell ref="B24:B25"/>
    <mergeCell ref="C18:C19"/>
    <mergeCell ref="A2:F2"/>
    <mergeCell ref="A3:F3"/>
    <mergeCell ref="D4:F4"/>
    <mergeCell ref="A12:F12"/>
    <mergeCell ref="A13:F13"/>
    <mergeCell ref="A4:A5"/>
    <mergeCell ref="B4:B5"/>
    <mergeCell ref="B10:B11"/>
    <mergeCell ref="C4:C5"/>
  </mergeCells>
  <pageMargins left="0.90551181102362199" right="0.511811023622047" top="2.3228346456692899" bottom="0.74803149606299202" header="0.31496062992126" footer="0.31496062992126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23"/>
  <sheetViews>
    <sheetView workbookViewId="0">
      <selection activeCell="B13" sqref="B13"/>
    </sheetView>
  </sheetViews>
  <sheetFormatPr defaultColWidth="9.140625" defaultRowHeight="19.5" customHeight="1"/>
  <cols>
    <col min="1" max="1" width="24.5703125" style="2" customWidth="1"/>
    <col min="2" max="2" width="20.85546875" style="2" customWidth="1"/>
    <col min="3" max="3" width="9.140625" style="2"/>
    <col min="4" max="16384" width="9.140625" style="43"/>
  </cols>
  <sheetData>
    <row r="1" spans="1:3" ht="19.5" customHeight="1">
      <c r="A1" s="922" t="s">
        <v>2</v>
      </c>
      <c r="B1" s="922"/>
    </row>
    <row r="2" spans="1:3" ht="19.5" customHeight="1">
      <c r="A2" s="953" t="s">
        <v>361</v>
      </c>
      <c r="B2" s="954"/>
    </row>
    <row r="3" spans="1:3" s="42" customFormat="1" ht="19.5" customHeight="1">
      <c r="A3" s="44" t="s">
        <v>362</v>
      </c>
      <c r="B3" s="45" t="s">
        <v>363</v>
      </c>
      <c r="C3" s="13"/>
    </row>
    <row r="4" spans="1:3" ht="19.5" customHeight="1">
      <c r="A4" s="46">
        <v>1</v>
      </c>
      <c r="B4" s="47">
        <v>33.630000000000003</v>
      </c>
    </row>
    <row r="5" spans="1:3" ht="19.5" customHeight="1">
      <c r="A5" s="48">
        <v>2</v>
      </c>
      <c r="B5" s="49">
        <v>43.13</v>
      </c>
    </row>
    <row r="6" spans="1:3" ht="19.5" customHeight="1">
      <c r="A6" s="48">
        <v>3</v>
      </c>
      <c r="B6" s="49">
        <v>48.68</v>
      </c>
    </row>
    <row r="7" spans="1:3" ht="19.5" customHeight="1">
      <c r="A7" s="48">
        <v>4</v>
      </c>
      <c r="B7" s="49">
        <v>52.62</v>
      </c>
    </row>
    <row r="8" spans="1:3" ht="19.5" customHeight="1">
      <c r="A8" s="48">
        <v>5</v>
      </c>
      <c r="B8" s="49">
        <v>55.68</v>
      </c>
    </row>
    <row r="9" spans="1:3" ht="19.5" customHeight="1">
      <c r="A9" s="48">
        <v>6</v>
      </c>
      <c r="B9" s="49">
        <v>58.18</v>
      </c>
    </row>
    <row r="10" spans="1:3" ht="19.5" customHeight="1">
      <c r="A10" s="48">
        <v>7</v>
      </c>
      <c r="B10" s="49">
        <v>60.29</v>
      </c>
    </row>
    <row r="11" spans="1:3" ht="19.5" customHeight="1">
      <c r="A11" s="48">
        <v>8</v>
      </c>
      <c r="B11" s="49">
        <v>62.12</v>
      </c>
    </row>
    <row r="12" spans="1:3" ht="19.5" customHeight="1">
      <c r="A12" s="48">
        <v>9</v>
      </c>
      <c r="B12" s="49">
        <v>63.73</v>
      </c>
    </row>
    <row r="13" spans="1:3" ht="19.5" customHeight="1">
      <c r="A13" s="48">
        <v>10</v>
      </c>
      <c r="B13" s="49">
        <v>65.180000000000007</v>
      </c>
    </row>
    <row r="14" spans="1:3" ht="19.5" customHeight="1">
      <c r="A14" s="48">
        <v>11</v>
      </c>
      <c r="B14" s="49">
        <v>66.48</v>
      </c>
    </row>
    <row r="15" spans="1:3" ht="19.5" customHeight="1">
      <c r="A15" s="48">
        <v>12</v>
      </c>
      <c r="B15" s="49">
        <v>67.67</v>
      </c>
    </row>
    <row r="16" spans="1:3" ht="19.5" customHeight="1">
      <c r="A16" s="48">
        <v>13</v>
      </c>
      <c r="B16" s="49">
        <v>68.77</v>
      </c>
    </row>
    <row r="17" spans="1:2" ht="19.5" customHeight="1">
      <c r="A17" s="48">
        <v>14</v>
      </c>
      <c r="B17" s="49">
        <v>69.790000000000006</v>
      </c>
    </row>
    <row r="18" spans="1:2" ht="19.5" customHeight="1">
      <c r="A18" s="50">
        <v>15</v>
      </c>
      <c r="B18" s="51">
        <v>70.73</v>
      </c>
    </row>
    <row r="19" spans="1:2" ht="19.5" customHeight="1">
      <c r="A19" s="955"/>
      <c r="B19" s="955"/>
    </row>
    <row r="21" spans="1:2" ht="19.5" customHeight="1">
      <c r="A21" s="760"/>
      <c r="B21" s="760"/>
    </row>
    <row r="22" spans="1:2" ht="19.5" customHeight="1">
      <c r="A22" s="760"/>
      <c r="B22" s="760"/>
    </row>
    <row r="23" spans="1:2" ht="19.5" customHeight="1">
      <c r="A23" s="760"/>
      <c r="B23" s="760"/>
    </row>
  </sheetData>
  <mergeCells count="6">
    <mergeCell ref="A23:B23"/>
    <mergeCell ref="A1:B1"/>
    <mergeCell ref="A2:B2"/>
    <mergeCell ref="A19:B19"/>
    <mergeCell ref="A21:B21"/>
    <mergeCell ref="A22:B22"/>
  </mergeCells>
  <pageMargins left="2.0866141732283499" right="0.511811023622047" top="1.92913385826772" bottom="0.74803149606299202" header="0.31496062992126" footer="0.31496062992126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25"/>
  <sheetViews>
    <sheetView workbookViewId="0">
      <selection activeCell="A2" sqref="A2:H2"/>
    </sheetView>
  </sheetViews>
  <sheetFormatPr defaultColWidth="9.140625" defaultRowHeight="15.75"/>
  <cols>
    <col min="1" max="1" width="8.5703125" style="2" customWidth="1"/>
    <col min="2" max="3" width="9.140625" style="2"/>
    <col min="4" max="4" width="11.28515625" style="2" customWidth="1"/>
    <col min="5" max="5" width="9.140625" style="2"/>
    <col min="6" max="6" width="2.140625" style="2" customWidth="1"/>
    <col min="7" max="7" width="9.140625" style="2"/>
    <col min="8" max="8" width="10.5703125" style="2" customWidth="1"/>
    <col min="9" max="9" width="9.140625" style="2"/>
    <col min="10" max="16384" width="9.140625" style="3"/>
  </cols>
  <sheetData>
    <row r="1" spans="1:8">
      <c r="A1" s="922" t="s">
        <v>2</v>
      </c>
      <c r="B1" s="922"/>
      <c r="C1" s="922"/>
      <c r="D1" s="922"/>
      <c r="E1" s="922"/>
      <c r="F1" s="922"/>
      <c r="G1" s="922"/>
      <c r="H1" s="922"/>
    </row>
    <row r="2" spans="1:8">
      <c r="A2" s="956" t="s">
        <v>364</v>
      </c>
      <c r="B2" s="957"/>
      <c r="C2" s="957"/>
      <c r="D2" s="957"/>
      <c r="E2" s="957"/>
      <c r="F2" s="957"/>
      <c r="G2" s="957"/>
      <c r="H2" s="958"/>
    </row>
    <row r="3" spans="1:8">
      <c r="A3" s="959"/>
      <c r="B3" s="960"/>
      <c r="C3" s="960"/>
      <c r="D3" s="960"/>
      <c r="E3" s="960"/>
      <c r="F3" s="960"/>
      <c r="G3" s="960"/>
      <c r="H3" s="961"/>
    </row>
    <row r="4" spans="1:8">
      <c r="A4" s="962" t="s">
        <v>365</v>
      </c>
      <c r="B4" s="963"/>
      <c r="C4" s="963"/>
      <c r="D4" s="963"/>
      <c r="E4" s="963"/>
      <c r="F4" s="963"/>
      <c r="G4" s="963"/>
      <c r="H4" s="964"/>
    </row>
    <row r="5" spans="1:8">
      <c r="A5" s="32"/>
      <c r="H5" s="33"/>
    </row>
    <row r="6" spans="1:8" ht="18.75">
      <c r="A6" s="32"/>
      <c r="C6" s="34" t="s">
        <v>366</v>
      </c>
      <c r="D6" s="35" t="s">
        <v>367</v>
      </c>
      <c r="H6" s="33"/>
    </row>
    <row r="7" spans="1:8">
      <c r="A7" s="32"/>
      <c r="C7" s="36"/>
      <c r="D7" s="37">
        <v>12</v>
      </c>
      <c r="H7" s="33"/>
    </row>
    <row r="8" spans="1:8" ht="18.75">
      <c r="A8" s="32"/>
      <c r="C8" s="28" t="s">
        <v>368</v>
      </c>
      <c r="D8" s="969" t="s">
        <v>369</v>
      </c>
      <c r="E8" s="38" t="s">
        <v>370</v>
      </c>
      <c r="F8" s="969" t="s">
        <v>371</v>
      </c>
      <c r="G8" s="968" t="s">
        <v>372</v>
      </c>
      <c r="H8" s="33"/>
    </row>
    <row r="9" spans="1:8">
      <c r="A9" s="32"/>
      <c r="D9" s="969"/>
      <c r="E9" s="37" t="s">
        <v>373</v>
      </c>
      <c r="F9" s="969"/>
      <c r="G9" s="968"/>
      <c r="H9" s="33"/>
    </row>
    <row r="10" spans="1:8">
      <c r="A10" s="32"/>
      <c r="H10" s="33"/>
    </row>
    <row r="11" spans="1:8">
      <c r="A11" s="32"/>
      <c r="H11" s="33"/>
    </row>
    <row r="12" spans="1:8">
      <c r="A12" s="32"/>
      <c r="H12" s="33"/>
    </row>
    <row r="13" spans="1:8" ht="18">
      <c r="A13" s="965" t="s">
        <v>374</v>
      </c>
      <c r="B13" s="966"/>
      <c r="C13" s="966"/>
      <c r="D13" s="966"/>
      <c r="E13" s="966"/>
      <c r="F13" s="966"/>
      <c r="G13" s="966"/>
      <c r="H13" s="967"/>
    </row>
    <row r="14" spans="1:8">
      <c r="A14" s="965" t="s">
        <v>375</v>
      </c>
      <c r="B14" s="966"/>
      <c r="C14" s="966"/>
      <c r="D14" s="966"/>
      <c r="E14" s="966"/>
      <c r="F14" s="966"/>
      <c r="G14" s="966"/>
      <c r="H14" s="967"/>
    </row>
    <row r="15" spans="1:8" ht="18">
      <c r="A15" s="965" t="s">
        <v>376</v>
      </c>
      <c r="B15" s="966"/>
      <c r="C15" s="966"/>
      <c r="D15" s="966"/>
      <c r="E15" s="966"/>
      <c r="F15" s="966"/>
      <c r="G15" s="966"/>
      <c r="H15" s="967"/>
    </row>
    <row r="16" spans="1:8" ht="18">
      <c r="A16" s="965" t="s">
        <v>377</v>
      </c>
      <c r="B16" s="966"/>
      <c r="C16" s="966"/>
      <c r="D16" s="966"/>
      <c r="E16" s="966"/>
      <c r="F16" s="966"/>
      <c r="G16" s="966"/>
      <c r="H16" s="967"/>
    </row>
    <row r="17" spans="1:8" ht="18">
      <c r="A17" s="965" t="s">
        <v>378</v>
      </c>
      <c r="B17" s="966"/>
      <c r="C17" s="966"/>
      <c r="D17" s="966"/>
      <c r="E17" s="966"/>
      <c r="F17" s="966"/>
      <c r="G17" s="966"/>
      <c r="H17" s="967"/>
    </row>
    <row r="18" spans="1:8">
      <c r="A18" s="965" t="s">
        <v>379</v>
      </c>
      <c r="B18" s="966"/>
      <c r="C18" s="966"/>
      <c r="D18" s="966"/>
      <c r="E18" s="966"/>
      <c r="F18" s="966"/>
      <c r="G18" s="966"/>
      <c r="H18" s="967"/>
    </row>
    <row r="19" spans="1:8">
      <c r="A19" s="39"/>
      <c r="B19" s="40"/>
      <c r="C19" s="40"/>
      <c r="D19" s="40"/>
      <c r="E19" s="40"/>
      <c r="F19" s="40"/>
      <c r="G19" s="40"/>
      <c r="H19" s="41"/>
    </row>
    <row r="23" spans="1:8">
      <c r="C23" s="760"/>
      <c r="D23" s="760"/>
    </row>
    <row r="24" spans="1:8">
      <c r="C24" s="760"/>
      <c r="D24" s="760"/>
    </row>
    <row r="25" spans="1:8">
      <c r="C25" s="760"/>
      <c r="D25" s="760"/>
    </row>
  </sheetData>
  <mergeCells count="16">
    <mergeCell ref="C23:D23"/>
    <mergeCell ref="C24:D24"/>
    <mergeCell ref="C25:D25"/>
    <mergeCell ref="D8:D9"/>
    <mergeCell ref="F8:F9"/>
    <mergeCell ref="A14:H14"/>
    <mergeCell ref="A15:H15"/>
    <mergeCell ref="A16:H16"/>
    <mergeCell ref="A17:H17"/>
    <mergeCell ref="A18:H18"/>
    <mergeCell ref="A1:H1"/>
    <mergeCell ref="A2:H2"/>
    <mergeCell ref="A3:H3"/>
    <mergeCell ref="A4:H4"/>
    <mergeCell ref="A13:H13"/>
    <mergeCell ref="G8:G9"/>
  </mergeCells>
  <pageMargins left="1.69291338582677" right="0.511811023622047" top="1.5354330708661399" bottom="0.74803149606299202" header="0.31496062992126" footer="0.31496062992126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D28"/>
  <sheetViews>
    <sheetView view="pageBreakPreview" topLeftCell="A6" zoomScaleNormal="110" workbookViewId="0">
      <selection activeCell="H29" sqref="H29"/>
    </sheetView>
  </sheetViews>
  <sheetFormatPr defaultColWidth="9.140625" defaultRowHeight="15.75"/>
  <cols>
    <col min="1" max="1" width="58.28515625" style="2" customWidth="1"/>
    <col min="2" max="2" width="11.140625" style="2" customWidth="1"/>
    <col min="3" max="3" width="11.28515625" style="2" customWidth="1"/>
    <col min="4" max="4" width="9.140625" style="2"/>
    <col min="5" max="16384" width="9.140625" style="3"/>
  </cols>
  <sheetData>
    <row r="1" spans="1:4" hidden="1">
      <c r="A1" s="4"/>
    </row>
    <row r="2" spans="1:4" hidden="1">
      <c r="A2" s="5"/>
    </row>
    <row r="3" spans="1:4" hidden="1">
      <c r="A3" s="5"/>
    </row>
    <row r="4" spans="1:4" hidden="1">
      <c r="A4" s="6"/>
    </row>
    <row r="5" spans="1:4" hidden="1"/>
    <row r="6" spans="1:4">
      <c r="A6" s="922" t="s">
        <v>2</v>
      </c>
      <c r="B6" s="922"/>
      <c r="C6" s="922"/>
    </row>
    <row r="7" spans="1:4">
      <c r="A7" s="953" t="s">
        <v>380</v>
      </c>
      <c r="B7" s="970"/>
      <c r="C7" s="954"/>
    </row>
    <row r="8" spans="1:4">
      <c r="A8" s="7"/>
      <c r="B8" s="8"/>
      <c r="C8" s="9"/>
    </row>
    <row r="9" spans="1:4" s="1" customFormat="1">
      <c r="A9" s="10" t="s">
        <v>381</v>
      </c>
      <c r="B9" s="11" t="s">
        <v>382</v>
      </c>
      <c r="C9" s="12" t="s">
        <v>257</v>
      </c>
      <c r="D9" s="13"/>
    </row>
    <row r="10" spans="1:4">
      <c r="A10" s="14" t="s">
        <v>383</v>
      </c>
      <c r="B10" s="15" t="s">
        <v>384</v>
      </c>
      <c r="C10" s="16">
        <v>9256</v>
      </c>
    </row>
    <row r="11" spans="1:4">
      <c r="A11" s="14" t="s">
        <v>385</v>
      </c>
      <c r="B11" s="15" t="s">
        <v>386</v>
      </c>
      <c r="C11" s="17">
        <v>0.6633</v>
      </c>
    </row>
    <row r="12" spans="1:4">
      <c r="A12" s="14" t="s">
        <v>387</v>
      </c>
      <c r="B12" s="15" t="s">
        <v>388</v>
      </c>
      <c r="C12" s="18">
        <f>C13/30</f>
        <v>6.1436666666666664</v>
      </c>
    </row>
    <row r="13" spans="1:4">
      <c r="A13" s="14" t="s">
        <v>389</v>
      </c>
      <c r="B13" s="15" t="s">
        <v>249</v>
      </c>
      <c r="C13" s="19">
        <v>184.31</v>
      </c>
    </row>
    <row r="14" spans="1:4">
      <c r="A14" s="14" t="s">
        <v>390</v>
      </c>
      <c r="B14" s="15" t="s">
        <v>65</v>
      </c>
      <c r="C14" s="20">
        <v>6</v>
      </c>
    </row>
    <row r="15" spans="1:4">
      <c r="A15" s="14" t="s">
        <v>391</v>
      </c>
      <c r="B15" s="15" t="s">
        <v>388</v>
      </c>
      <c r="C15" s="18">
        <f>IFERROR(C12*7/C14,0)</f>
        <v>7.1676111111111105</v>
      </c>
    </row>
    <row r="16" spans="1:4">
      <c r="A16" s="14" t="s">
        <v>392</v>
      </c>
      <c r="B16" s="15" t="s">
        <v>393</v>
      </c>
      <c r="C16" s="21">
        <v>500</v>
      </c>
    </row>
    <row r="17" spans="1:3">
      <c r="A17" s="14" t="s">
        <v>394</v>
      </c>
      <c r="B17" s="15"/>
      <c r="C17" s="22">
        <v>1</v>
      </c>
    </row>
    <row r="18" spans="1:3">
      <c r="A18" s="14" t="s">
        <v>395</v>
      </c>
      <c r="B18" s="15" t="s">
        <v>396</v>
      </c>
      <c r="C18" s="23">
        <v>15</v>
      </c>
    </row>
    <row r="19" spans="1:3">
      <c r="A19" s="14" t="s">
        <v>397</v>
      </c>
      <c r="B19" s="15" t="s">
        <v>249</v>
      </c>
      <c r="C19" s="21">
        <f>IF(AND(C18&gt;=15,C17=1),7.5,C18/2)</f>
        <v>7.5</v>
      </c>
    </row>
    <row r="20" spans="1:3">
      <c r="A20" s="14" t="s">
        <v>398</v>
      </c>
      <c r="B20" s="15"/>
      <c r="C20" s="18">
        <f>IFERROR(C15/C19,0)</f>
        <v>0.95568148148148135</v>
      </c>
    </row>
    <row r="21" spans="1:3">
      <c r="A21" s="14" t="s">
        <v>399</v>
      </c>
      <c r="B21" s="15"/>
      <c r="C21" s="24">
        <v>1</v>
      </c>
    </row>
    <row r="22" spans="1:3">
      <c r="A22" s="25" t="s">
        <v>400</v>
      </c>
      <c r="B22" s="26"/>
      <c r="C22" s="27">
        <f>IFERROR(C20/C21,0)</f>
        <v>0.95568148148148135</v>
      </c>
    </row>
    <row r="23" spans="1:3">
      <c r="A23" s="28"/>
      <c r="B23" s="6"/>
      <c r="C23" s="29"/>
    </row>
    <row r="24" spans="1:3">
      <c r="A24" s="6"/>
      <c r="B24" s="6"/>
      <c r="C24" s="29"/>
    </row>
    <row r="25" spans="1:3">
      <c r="A25" s="760"/>
      <c r="B25" s="760"/>
      <c r="C25" s="29"/>
    </row>
    <row r="26" spans="1:3">
      <c r="A26" s="760"/>
      <c r="B26" s="760"/>
      <c r="C26" s="29"/>
    </row>
    <row r="27" spans="1:3">
      <c r="A27" s="760"/>
      <c r="B27" s="760"/>
    </row>
    <row r="28" spans="1:3">
      <c r="A28" s="28"/>
    </row>
  </sheetData>
  <mergeCells count="5">
    <mergeCell ref="A6:C6"/>
    <mergeCell ref="A7:C7"/>
    <mergeCell ref="A25:B25"/>
    <mergeCell ref="A26:B26"/>
    <mergeCell ref="A27:B27"/>
  </mergeCells>
  <pageMargins left="1.2992125984252001" right="0.511811023622047" top="1.9685039370078701" bottom="0.78740157480314998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17</vt:i4>
      </vt:variant>
    </vt:vector>
  </HeadingPairs>
  <TitlesOfParts>
    <vt:vector size="30" baseType="lpstr">
      <vt:lpstr>Orçamento</vt:lpstr>
      <vt:lpstr>Cronograma</vt:lpstr>
      <vt:lpstr>1.1.Coleta Organica </vt:lpstr>
      <vt:lpstr>1.2. Coleta Seletiva</vt:lpstr>
      <vt:lpstr>1.3.Estação de transbordo</vt:lpstr>
      <vt:lpstr>1.4 Central de Triagem</vt:lpstr>
      <vt:lpstr>1.5.Destino final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'1.1.Coleta Organica '!Area_de_impressao</vt:lpstr>
      <vt:lpstr>'1.2. Coleta Seletiva'!Area_de_impressao</vt:lpstr>
      <vt:lpstr>'1.3.Estação de transbordo'!Area_de_impressao</vt:lpstr>
      <vt:lpstr>'1.4 Central de Triagem'!Area_de_impressao</vt:lpstr>
      <vt:lpstr>'1.5.Destino final'!Area_de_impressao</vt:lpstr>
      <vt:lpstr>'2.Encargos Sociais'!Area_de_impressao</vt:lpstr>
      <vt:lpstr>Cronograma!Area_de_impressao</vt:lpstr>
      <vt:lpstr>Orçamento!Area_de_impressao</vt:lpstr>
      <vt:lpstr>'1.1.Coleta Organica '!Titulos_de_impressao</vt:lpstr>
      <vt:lpstr>'1.2. Coleta Seletiva'!Titulos_de_impressao</vt:lpstr>
      <vt:lpstr>'1.3.Estação de transbordo'!Titulos_de_impressao</vt:lpstr>
      <vt:lpstr>'1.4 Central de Triagem'!Titulos_de_impressao</vt:lpstr>
      <vt:lpstr>'1.5.Destino final'!Titulos_de_impressao</vt:lpstr>
      <vt:lpstr>Cronograma!Titulos_de_impressao</vt:lpstr>
      <vt:lpstr>Orçamento!Titulos_de_impressao</vt:lpstr>
    </vt:vector>
  </TitlesOfParts>
  <Company>PM Arroio do Meio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Nívia Fuchs</dc:creator>
  <cp:lastModifiedBy>Carleia Cristina Haas</cp:lastModifiedBy>
  <cp:lastPrinted>2026-09-15T18:56:29Z</cp:lastPrinted>
  <dcterms:created xsi:type="dcterms:W3CDTF">2000-12-13T10:02:00Z</dcterms:created>
  <dcterms:modified xsi:type="dcterms:W3CDTF">2026-10-08T10:58:47Z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E0BB383F2A414E3B87AA7BCC58626414_12</vt:lpwstr>
  </property>
  <property fmtid="{D5CDD505-2E9C-101B-9397-08002B2CF9AE}" pid="3" name="KSOProductBuildVer">
    <vt:lpwstr>1046-12.1.0.27458</vt:lpwstr>
  </property>
  <property fmtid="{D5CDD505-2E9C-101B-9397-08002B2CF9AE}" pid="4" name="CalculationRule">
    <vt:i4>0</vt:i4>
  </property>
</Properties>
</file>