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ku\Downloads\"/>
    </mc:Choice>
  </mc:AlternateContent>
  <xr:revisionPtr revIDLastSave="0" documentId="13_ncr:1_{5A25AEDA-216A-4F4C-A073-4F332BBC7755}" xr6:coauthVersionLast="47" xr6:coauthVersionMax="47" xr10:uidLastSave="{00000000-0000-0000-0000-000000000000}"/>
  <bookViews>
    <workbookView xWindow="-120" yWindow="-120" windowWidth="24240" windowHeight="13020" tabRatio="500" activeTab="1" xr2:uid="{00000000-000D-0000-FFFF-FFFF00000000}"/>
  </bookViews>
  <sheets>
    <sheet name="Resumo" sheetId="1" r:id="rId1"/>
    <sheet name="Linha1" sheetId="2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B5" i="1" l="1"/>
  <c r="H19" i="2"/>
  <c r="I8" i="2"/>
  <c r="B8" i="2"/>
  <c r="B2" i="1" l="1"/>
  <c r="B3" i="1"/>
  <c r="E9" i="1"/>
  <c r="D9" i="1"/>
  <c r="H30" i="2" l="1"/>
  <c r="H32" i="2" s="1"/>
  <c r="H25" i="2"/>
  <c r="H27" i="2" s="1"/>
  <c r="H21" i="2"/>
  <c r="B15" i="2" l="1"/>
  <c r="I10" i="2"/>
  <c r="F9" i="1"/>
  <c r="E32" i="2" l="1"/>
  <c r="E27" i="2"/>
  <c r="I9" i="2"/>
  <c r="I11" i="2" s="1"/>
  <c r="I12" i="2" l="1"/>
  <c r="B11" i="2" s="1"/>
  <c r="D31" i="2" s="1"/>
  <c r="C31" i="2" s="1"/>
  <c r="B31" i="2" s="1"/>
  <c r="E33" i="2"/>
  <c r="H35" i="2" l="1"/>
  <c r="B16" i="2" s="1"/>
  <c r="B17" i="2" s="1"/>
  <c r="D36" i="2"/>
  <c r="D38" i="2" s="1"/>
  <c r="C38" i="2" s="1"/>
  <c r="D29" i="2"/>
  <c r="C29" i="2" s="1"/>
  <c r="B29" i="2" s="1"/>
  <c r="D27" i="2"/>
  <c r="C27" i="2" s="1"/>
  <c r="D30" i="2"/>
  <c r="C30" i="2" s="1"/>
  <c r="B30" i="2" s="1"/>
  <c r="D28" i="2"/>
  <c r="C28" i="2" s="1"/>
  <c r="B28" i="2" s="1"/>
  <c r="D32" i="2"/>
  <c r="C32" i="2" s="1"/>
  <c r="B32" i="2" s="1"/>
  <c r="D37" i="2" l="1"/>
  <c r="C37" i="2" s="1"/>
  <c r="C36" i="2"/>
  <c r="D33" i="2"/>
  <c r="C33" i="2"/>
  <c r="B27" i="2"/>
  <c r="B33" i="2" s="1"/>
  <c r="D39" i="2" l="1"/>
  <c r="C39" i="2" s="1"/>
  <c r="D40" i="2"/>
  <c r="C40" i="2" s="1"/>
  <c r="C41" i="2" l="1"/>
  <c r="D41" i="2"/>
  <c r="B22" i="2"/>
  <c r="B23" i="2" l="1"/>
  <c r="J16" i="2" s="1"/>
  <c r="B24" i="2" l="1"/>
  <c r="B44" i="2" s="1"/>
  <c r="B45" i="2" s="1"/>
  <c r="B52" i="2" s="1"/>
  <c r="B51" i="2" s="1"/>
  <c r="B49" i="2" l="1"/>
  <c r="B48" i="2"/>
  <c r="D54" i="2"/>
  <c r="B9" i="1" s="1"/>
  <c r="B50" i="2"/>
  <c r="H9" i="1"/>
  <c r="B47" i="2"/>
  <c r="B12" i="1" l="1"/>
  <c r="G9" i="1"/>
  <c r="I9" i="1" s="1"/>
  <c r="B11" i="1"/>
  <c r="B46" i="2"/>
  <c r="C12" i="1" l="1"/>
</calcChain>
</file>

<file path=xl/sharedStrings.xml><?xml version="1.0" encoding="utf-8"?>
<sst xmlns="http://schemas.openxmlformats.org/spreadsheetml/2006/main" count="100" uniqueCount="90">
  <si>
    <t>Combustível Bomba R$</t>
  </si>
  <si>
    <t>Veículos R$</t>
  </si>
  <si>
    <t>Salário Motorista R$</t>
  </si>
  <si>
    <t>Potêncial de Km/mês</t>
  </si>
  <si>
    <t>Km Dia</t>
  </si>
  <si>
    <t>R$ Dia</t>
  </si>
  <si>
    <t>Linhas</t>
  </si>
  <si>
    <t>R$ / Km</t>
  </si>
  <si>
    <t>Chão</t>
  </si>
  <si>
    <t>Asfalto</t>
  </si>
  <si>
    <t>Total</t>
  </si>
  <si>
    <t>Linha 1</t>
  </si>
  <si>
    <t>Mínimo</t>
  </si>
  <si>
    <t>Máximo</t>
  </si>
  <si>
    <t>Dados Gerais</t>
  </si>
  <si>
    <t>km pavimentado</t>
  </si>
  <si>
    <t>Tabela de utilização</t>
  </si>
  <si>
    <t>km sem pavimentação</t>
  </si>
  <si>
    <t>km total</t>
  </si>
  <si>
    <t>Potêncial de Km mês</t>
  </si>
  <si>
    <t>Veículo</t>
  </si>
  <si>
    <t>Km dia</t>
  </si>
  <si>
    <t>R$ Veículo</t>
  </si>
  <si>
    <t>Nº de dias</t>
  </si>
  <si>
    <t>Taxa de Utilização do Veículo</t>
  </si>
  <si>
    <t>Total de Km mês</t>
  </si>
  <si>
    <t>Tempo de Depreciação (anos)</t>
  </si>
  <si>
    <t>Taxa de utilização</t>
  </si>
  <si>
    <t>R$ Combustível</t>
  </si>
  <si>
    <t>km/litro asfalto</t>
  </si>
  <si>
    <t>km/litro estrada chão</t>
  </si>
  <si>
    <t>Relação combustível / manutenção / asfalto</t>
  </si>
  <si>
    <t>Relação combustível / manutenção / est.chão</t>
  </si>
  <si>
    <t>Custos Diretos</t>
  </si>
  <si>
    <t>Itinerário</t>
  </si>
  <si>
    <t>Combustível</t>
  </si>
  <si>
    <t>Manutenção</t>
  </si>
  <si>
    <t>Custos Indiretos - Exceto Mão-de-Obra</t>
  </si>
  <si>
    <t>Mensal</t>
  </si>
  <si>
    <t>Utilizado</t>
  </si>
  <si>
    <t>Anual</t>
  </si>
  <si>
    <t>IPVA</t>
  </si>
  <si>
    <t>Seguro Obrig.</t>
  </si>
  <si>
    <t>Licenciamento</t>
  </si>
  <si>
    <t>Escritório</t>
  </si>
  <si>
    <t>Alvará</t>
  </si>
  <si>
    <t>Depreciação</t>
  </si>
  <si>
    <t>Custos Indiretos - Mão-de-Obra</t>
  </si>
  <si>
    <t>Salário</t>
  </si>
  <si>
    <t>13o. Sál.</t>
  </si>
  <si>
    <t>Férias</t>
  </si>
  <si>
    <t>INSS</t>
  </si>
  <si>
    <t>FGTS</t>
  </si>
  <si>
    <t>Demonstrativo do Resultado - Lucro Presumido</t>
  </si>
  <si>
    <t>Custo Unitário</t>
  </si>
  <si>
    <t>Total de Impostos</t>
  </si>
  <si>
    <t>Cofins 3,00%</t>
  </si>
  <si>
    <t>Pis 0,65%</t>
  </si>
  <si>
    <t>Imposto Renda 2,4%</t>
  </si>
  <si>
    <t>CSLL 1,08%</t>
  </si>
  <si>
    <t>Preço Final</t>
  </si>
  <si>
    <t>PREÇO POR KM RODADO</t>
  </si>
  <si>
    <t>Margem Lucro 20,00%</t>
  </si>
  <si>
    <t>OLEO LUBRIFICANTE</t>
  </si>
  <si>
    <t>Custo do Lubrificante por KM</t>
  </si>
  <si>
    <t>Preço do Pneu utilizado</t>
  </si>
  <si>
    <t>Qtd. Pneus Rodando</t>
  </si>
  <si>
    <t>Vida util do Pneus por KM</t>
  </si>
  <si>
    <t>Custo dos Pneus de rodagem Por KM</t>
  </si>
  <si>
    <t>Custo da Manutenção por KM</t>
  </si>
  <si>
    <t>MANUTENÇÃO MECÂNICA DO VEÍCULO</t>
  </si>
  <si>
    <t>Custo de Manutenção ANUAL</t>
  </si>
  <si>
    <t>PNEUS</t>
  </si>
  <si>
    <t>Preço da Recapagem</t>
  </si>
  <si>
    <t>Custo da Recapagem Por KM</t>
  </si>
  <si>
    <t>Preço do Litro Lubrificante + Filtro</t>
  </si>
  <si>
    <t>__________________________</t>
  </si>
  <si>
    <t>Sulclip LTDA ME</t>
  </si>
  <si>
    <t>CNPJ: 24.497.997/0001-03</t>
  </si>
  <si>
    <t>Markus Vinícius Bonzanini</t>
  </si>
  <si>
    <t>Número de Pessoas Transportadas</t>
  </si>
  <si>
    <t>Média eventos mensais</t>
  </si>
  <si>
    <t xml:space="preserve"> </t>
  </si>
  <si>
    <t>CÁLCULO CUSTO TRANSPORTE</t>
  </si>
  <si>
    <t>ÔNIBUS</t>
  </si>
  <si>
    <t>Total na Troca - 20 Litros</t>
  </si>
  <si>
    <t>Issqn 4,00%</t>
  </si>
  <si>
    <t>Total na Troca</t>
  </si>
  <si>
    <t xml:space="preserve">Km Rodados com uma Troca </t>
  </si>
  <si>
    <t>BARRA DO FÃO/SÃO JOÃO - 4ª FEIRA - MANHÃ - VOLTA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</si>
</sst>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R$&quot;\ * #,##0.00_-;\-&quot;R$&quot;\ * #,##0.00_-;_-&quot;R$&quot;\ * &quot;-&quot;??_-;_-@_-"/>
    <numFmt numFmtId="164" formatCode="_(* #,##0.00_);_(* \(#,##0.00\);_(* \-??_);_(@_)"/>
    <numFmt numFmtId="165" formatCode="0.0"/>
    <numFmt numFmtId="166" formatCode="_(* #,##0.0_);_(* \(#,##0.0\);_(* \-??_);_(@_)"/>
    <numFmt numFmtId="167" formatCode="_(&quot;R$ &quot;* #,##0.00_);_(&quot;R$ &quot;* \(#,##0.00\);_(&quot;R$ &quot;* \-??_);_(@_)"/>
    <numFmt numFmtId="168" formatCode="_-* #,##0.00_-;\-* #,##0.00_-;_-* \-??_-;_-@_-"/>
    <numFmt numFmtId="169" formatCode="&quot;R$ &quot;#,##0.00_);[Red]&quot;(R$ &quot;#,##0.00\)"/>
    <numFmt numFmtId="170" formatCode="_(* #,##0.000_);_(* \(#,##0.000\);_(* \-??_);_(@_)"/>
    <numFmt numFmtId="171" formatCode="#,##0.000"/>
    <numFmt numFmtId="172" formatCode="_(* #,##0_);_(* \(#,##0\);_(* \-??_);_(@_)"/>
    <numFmt numFmtId="173" formatCode="_(&quot;R$ &quot;* #,##0.000_);_(&quot;R$ &quot;* \(#,##0.000\);_(&quot;R$ &quot;* \-??_);_(@_)"/>
    <numFmt numFmtId="174" formatCode="#,##0.0"/>
  </numFmts>
  <fonts count="19" x14ac:knownFonts="1">
    <font>
      <sz val="10"/>
      <name val="Arial"/>
      <family val="2"/>
      <charset val="1"/>
    </font>
    <font>
      <sz val="11"/>
      <name val="Arial"/>
      <family val="2"/>
      <charset val="1"/>
    </font>
    <font>
      <sz val="11"/>
      <color rgb="FFC00000"/>
      <name val="Arial"/>
      <family val="2"/>
      <charset val="1"/>
    </font>
    <font>
      <sz val="12"/>
      <name val="Arial"/>
      <family val="2"/>
      <charset val="1"/>
    </font>
    <font>
      <sz val="11"/>
      <color rgb="FFA6A6A6"/>
      <name val="Arial"/>
      <family val="2"/>
      <charset val="1"/>
    </font>
    <font>
      <b/>
      <sz val="14"/>
      <name val="Arial"/>
      <family val="2"/>
      <charset val="1"/>
    </font>
    <font>
      <i/>
      <sz val="11"/>
      <name val="Arial"/>
      <family val="2"/>
      <charset val="1"/>
    </font>
    <font>
      <sz val="11"/>
      <color rgb="FFC9211E"/>
      <name val="Arial"/>
      <family val="2"/>
      <charset val="1"/>
    </font>
    <font>
      <b/>
      <sz val="11"/>
      <name val="Arial"/>
      <family val="2"/>
      <charset val="1"/>
    </font>
    <font>
      <b/>
      <i/>
      <sz val="11"/>
      <name val="Arial"/>
      <family val="2"/>
      <charset val="1"/>
    </font>
    <font>
      <sz val="10"/>
      <name val="Arial"/>
      <family val="2"/>
      <charset val="1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u/>
      <sz val="10"/>
      <color rgb="FF00B05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u val="singleAccounting"/>
      <sz val="10"/>
      <color theme="1"/>
      <name val="Calibri"/>
      <family val="2"/>
      <scheme val="minor"/>
    </font>
    <font>
      <b/>
      <i/>
      <u/>
      <sz val="10"/>
      <color theme="1"/>
      <name val="Calibri"/>
      <family val="2"/>
      <scheme val="minor"/>
    </font>
    <font>
      <sz val="9"/>
      <name val="Arial"/>
      <family val="2"/>
      <charset val="1"/>
    </font>
    <font>
      <b/>
      <sz val="12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auto="1"/>
      </bottom>
      <diagonal/>
    </border>
  </borders>
  <cellStyleXfs count="4">
    <xf numFmtId="0" fontId="0" fillId="0" borderId="0"/>
    <xf numFmtId="164" fontId="10" fillId="0" borderId="0"/>
    <xf numFmtId="167" fontId="10" fillId="0" borderId="0"/>
    <xf numFmtId="9" fontId="10" fillId="0" borderId="0"/>
  </cellStyleXfs>
  <cellXfs count="73">
    <xf numFmtId="0" fontId="0" fillId="0" borderId="0" xfId="0"/>
    <xf numFmtId="164" fontId="0" fillId="0" borderId="0" xfId="1" applyFont="1"/>
    <xf numFmtId="0" fontId="1" fillId="0" borderId="0" xfId="0" applyFont="1"/>
    <xf numFmtId="164" fontId="1" fillId="0" borderId="0" xfId="1" applyFont="1"/>
    <xf numFmtId="164" fontId="2" fillId="2" borderId="0" xfId="1" applyFont="1" applyFill="1"/>
    <xf numFmtId="0" fontId="3" fillId="0" borderId="0" xfId="0" applyFont="1" applyAlignment="1">
      <alignment vertical="center"/>
    </xf>
    <xf numFmtId="164" fontId="3" fillId="0" borderId="0" xfId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1" fillId="0" borderId="0" xfId="0" applyNumberFormat="1" applyFont="1"/>
    <xf numFmtId="2" fontId="1" fillId="0" borderId="0" xfId="0" applyNumberFormat="1" applyFont="1"/>
    <xf numFmtId="4" fontId="4" fillId="0" borderId="0" xfId="0" applyNumberFormat="1" applyFont="1"/>
    <xf numFmtId="0" fontId="4" fillId="0" borderId="0" xfId="0" applyFont="1"/>
    <xf numFmtId="10" fontId="1" fillId="0" borderId="0" xfId="3" applyNumberFormat="1" applyFont="1"/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shrinkToFit="1"/>
    </xf>
    <xf numFmtId="0" fontId="6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6" fillId="0" borderId="1" xfId="0" applyFont="1" applyBorder="1"/>
    <xf numFmtId="4" fontId="1" fillId="0" borderId="1" xfId="0" applyNumberFormat="1" applyFont="1" applyBorder="1" applyAlignment="1">
      <alignment horizontal="right"/>
    </xf>
    <xf numFmtId="0" fontId="8" fillId="0" borderId="0" xfId="0" applyFont="1"/>
    <xf numFmtId="4" fontId="1" fillId="0" borderId="0" xfId="0" applyNumberFormat="1" applyFont="1" applyAlignment="1">
      <alignment horizontal="right"/>
    </xf>
    <xf numFmtId="4" fontId="8" fillId="0" borderId="0" xfId="0" applyNumberFormat="1" applyFont="1"/>
    <xf numFmtId="167" fontId="1" fillId="0" borderId="0" xfId="2" applyFont="1"/>
    <xf numFmtId="168" fontId="1" fillId="0" borderId="0" xfId="0" applyNumberFormat="1" applyFont="1"/>
    <xf numFmtId="4" fontId="1" fillId="0" borderId="0" xfId="0" applyNumberFormat="1" applyFont="1"/>
    <xf numFmtId="169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horizontal="left" indent="1"/>
    </xf>
    <xf numFmtId="0" fontId="1" fillId="0" borderId="1" xfId="0" applyFont="1" applyBorder="1" applyAlignment="1">
      <alignment horizontal="left" indent="1"/>
    </xf>
    <xf numFmtId="4" fontId="8" fillId="3" borderId="0" xfId="0" applyNumberFormat="1" applyFont="1" applyFill="1" applyAlignment="1">
      <alignment horizontal="right"/>
    </xf>
    <xf numFmtId="4" fontId="8" fillId="5" borderId="0" xfId="0" applyNumberFormat="1" applyFont="1" applyFill="1"/>
    <xf numFmtId="0" fontId="8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166" fontId="1" fillId="0" borderId="0" xfId="1" applyNumberFormat="1" applyFont="1" applyAlignment="1">
      <alignment vertical="center"/>
    </xf>
    <xf numFmtId="165" fontId="1" fillId="0" borderId="0" xfId="0" applyNumberFormat="1" applyFont="1" applyAlignment="1">
      <alignment horizontal="center" vertical="center"/>
    </xf>
    <xf numFmtId="164" fontId="1" fillId="0" borderId="0" xfId="1" applyFont="1" applyAlignment="1">
      <alignment horizontal="center" vertical="center"/>
    </xf>
    <xf numFmtId="170" fontId="1" fillId="0" borderId="0" xfId="1" applyNumberFormat="1" applyFont="1" applyAlignment="1">
      <alignment vertical="center"/>
    </xf>
    <xf numFmtId="164" fontId="1" fillId="0" borderId="0" xfId="1" applyFont="1" applyAlignment="1">
      <alignment vertical="center"/>
    </xf>
    <xf numFmtId="0" fontId="14" fillId="0" borderId="0" xfId="0" applyFont="1" applyAlignment="1">
      <alignment horizontal="center"/>
    </xf>
    <xf numFmtId="164" fontId="11" fillId="0" borderId="0" xfId="1" applyFont="1" applyAlignment="1">
      <alignment horizontal="center"/>
    </xf>
    <xf numFmtId="0" fontId="12" fillId="0" borderId="0" xfId="0" applyFont="1" applyAlignment="1">
      <alignment horizontal="center"/>
    </xf>
    <xf numFmtId="167" fontId="12" fillId="0" borderId="0" xfId="2" applyFont="1" applyAlignment="1">
      <alignment horizontal="center"/>
    </xf>
    <xf numFmtId="172" fontId="12" fillId="0" borderId="0" xfId="1" applyNumberFormat="1" applyFont="1" applyAlignment="1">
      <alignment horizontal="center"/>
    </xf>
    <xf numFmtId="0" fontId="11" fillId="0" borderId="0" xfId="0" applyFont="1" applyAlignment="1">
      <alignment horizontal="center"/>
    </xf>
    <xf numFmtId="44" fontId="15" fillId="0" borderId="0" xfId="2" applyNumberFormat="1" applyFont="1" applyAlignment="1">
      <alignment horizontal="center"/>
    </xf>
    <xf numFmtId="164" fontId="12" fillId="0" borderId="0" xfId="1" applyFont="1" applyAlignment="1">
      <alignment horizontal="center"/>
    </xf>
    <xf numFmtId="167" fontId="16" fillId="0" borderId="0" xfId="2" applyFont="1" applyAlignment="1">
      <alignment horizontal="center"/>
    </xf>
    <xf numFmtId="0" fontId="12" fillId="0" borderId="0" xfId="0" quotePrefix="1" applyFont="1" applyAlignment="1">
      <alignment horizontal="center"/>
    </xf>
    <xf numFmtId="164" fontId="13" fillId="0" borderId="0" xfId="1" applyFont="1" applyAlignment="1">
      <alignment horizontal="center"/>
    </xf>
    <xf numFmtId="0" fontId="17" fillId="0" borderId="0" xfId="0" applyFont="1" applyAlignment="1">
      <alignment horizontal="left" vertical="center"/>
    </xf>
    <xf numFmtId="173" fontId="16" fillId="0" borderId="0" xfId="2" applyNumberFormat="1" applyFont="1" applyAlignment="1">
      <alignment horizontal="center"/>
    </xf>
    <xf numFmtId="4" fontId="1" fillId="0" borderId="0" xfId="0" applyNumberFormat="1" applyFont="1" applyAlignment="1">
      <alignment horizontal="right"/>
    </xf>
    <xf numFmtId="0" fontId="0" fillId="0" borderId="0" xfId="0" applyAlignment="1">
      <alignment horizontal="left"/>
    </xf>
    <xf numFmtId="0" fontId="17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4" fontId="1" fillId="0" borderId="1" xfId="0" applyNumberFormat="1" applyFont="1" applyBorder="1" applyAlignment="1">
      <alignment horizontal="right"/>
    </xf>
    <xf numFmtId="4" fontId="8" fillId="4" borderId="0" xfId="0" applyNumberFormat="1" applyFont="1" applyFill="1" applyAlignment="1">
      <alignment horizontal="right"/>
    </xf>
    <xf numFmtId="4" fontId="8" fillId="3" borderId="0" xfId="0" applyNumberFormat="1" applyFont="1" applyFill="1" applyAlignment="1">
      <alignment horizontal="right"/>
    </xf>
    <xf numFmtId="4" fontId="9" fillId="3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0" fontId="2" fillId="2" borderId="1" xfId="0" applyFont="1" applyFill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shrinkToFit="1"/>
    </xf>
    <xf numFmtId="165" fontId="1" fillId="0" borderId="0" xfId="0" applyNumberFormat="1" applyFont="1" applyAlignment="1">
      <alignment horizontal="right"/>
    </xf>
    <xf numFmtId="165" fontId="1" fillId="4" borderId="0" xfId="0" applyNumberFormat="1" applyFont="1" applyFill="1" applyAlignment="1">
      <alignment horizontal="right"/>
    </xf>
    <xf numFmtId="171" fontId="1" fillId="0" borderId="0" xfId="0" applyNumberFormat="1" applyFont="1" applyAlignment="1">
      <alignment horizontal="right"/>
    </xf>
    <xf numFmtId="174" fontId="2" fillId="2" borderId="0" xfId="0" applyNumberFormat="1" applyFont="1" applyFill="1" applyAlignment="1">
      <alignment horizontal="right"/>
    </xf>
    <xf numFmtId="165" fontId="2" fillId="2" borderId="0" xfId="0" applyNumberFormat="1" applyFont="1" applyFill="1" applyAlignment="1">
      <alignment horizontal="right"/>
    </xf>
    <xf numFmtId="4" fontId="7" fillId="0" borderId="0" xfId="0" applyNumberFormat="1" applyFont="1" applyAlignment="1">
      <alignment horizontal="right"/>
    </xf>
    <xf numFmtId="164" fontId="3" fillId="0" borderId="0" xfId="1" applyFont="1" applyAlignment="1">
      <alignment horizontal="center" vertical="center"/>
    </xf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55</xdr:row>
      <xdr:rowOff>164592</xdr:rowOff>
    </xdr:from>
    <xdr:to>
      <xdr:col>0</xdr:col>
      <xdr:colOff>2160000</xdr:colOff>
      <xdr:row>58</xdr:row>
      <xdr:rowOff>120528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000" b="15000"/>
        <a:stretch/>
      </xdr:blipFill>
      <xdr:spPr bwMode="auto">
        <a:xfrm>
          <a:off x="0" y="9223248"/>
          <a:ext cx="2160000" cy="4680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zoomScale="125" zoomScaleNormal="125" workbookViewId="0">
      <selection activeCell="B6" sqref="B6"/>
    </sheetView>
  </sheetViews>
  <sheetFormatPr defaultRowHeight="12.75" x14ac:dyDescent="0.2"/>
  <cols>
    <col min="1" max="1" width="21.7109375" customWidth="1"/>
    <col min="2" max="2" width="13.140625" style="1" customWidth="1"/>
    <col min="3" max="5" width="9.28515625" style="1" customWidth="1"/>
    <col min="6" max="6" width="9.28515625" customWidth="1"/>
    <col min="7" max="7" width="9.7109375" customWidth="1"/>
    <col min="8" max="8" width="9.28515625" customWidth="1"/>
    <col min="9" max="9" width="15.5703125" customWidth="1"/>
    <col min="10" max="1025" width="8.7109375" customWidth="1"/>
  </cols>
  <sheetData>
    <row r="1" spans="1:9" ht="14.25" x14ac:dyDescent="0.2">
      <c r="A1" s="2"/>
      <c r="B1" s="3"/>
      <c r="C1" s="3"/>
      <c r="D1" s="3"/>
      <c r="E1" s="3"/>
      <c r="F1" s="2"/>
      <c r="G1" s="2"/>
      <c r="H1" s="2"/>
      <c r="I1" s="2"/>
    </row>
    <row r="2" spans="1:9" ht="14.25" x14ac:dyDescent="0.2">
      <c r="A2" s="2" t="s">
        <v>0</v>
      </c>
      <c r="B2" s="4">
        <f>Linha1!B13</f>
        <v>7.5</v>
      </c>
      <c r="C2" s="3"/>
      <c r="D2" s="3"/>
      <c r="E2" s="3"/>
      <c r="F2" s="2"/>
      <c r="G2" s="2"/>
      <c r="H2" s="2"/>
      <c r="I2" s="2"/>
    </row>
    <row r="3" spans="1:9" ht="14.25" x14ac:dyDescent="0.2">
      <c r="A3" s="2" t="s">
        <v>1</v>
      </c>
      <c r="B3" s="4">
        <f>Linha1!B10</f>
        <v>500000</v>
      </c>
      <c r="C3" s="3"/>
      <c r="D3" s="3"/>
      <c r="E3" s="3"/>
      <c r="F3" s="2"/>
      <c r="G3" s="2"/>
      <c r="H3" s="2"/>
      <c r="I3" s="2"/>
    </row>
    <row r="4" spans="1:9" ht="14.25" x14ac:dyDescent="0.2">
      <c r="A4" s="2" t="s">
        <v>2</v>
      </c>
      <c r="B4" s="4">
        <v>3000</v>
      </c>
      <c r="C4" s="3"/>
      <c r="D4" s="3"/>
      <c r="E4" s="3"/>
      <c r="F4" s="2"/>
      <c r="G4" s="2"/>
      <c r="H4" s="2"/>
      <c r="I4" s="2"/>
    </row>
    <row r="5" spans="1:9" ht="14.25" x14ac:dyDescent="0.2">
      <c r="A5" s="2" t="s">
        <v>3</v>
      </c>
      <c r="B5" s="4">
        <f>20*8*20</f>
        <v>3200</v>
      </c>
      <c r="C5" s="3"/>
      <c r="D5" s="3"/>
      <c r="E5" s="3"/>
      <c r="F5" s="2"/>
      <c r="G5" s="2"/>
      <c r="H5" s="2"/>
      <c r="I5" s="2"/>
    </row>
    <row r="6" spans="1:9" ht="14.25" x14ac:dyDescent="0.2">
      <c r="A6" s="2"/>
      <c r="B6" s="3"/>
      <c r="C6" s="3"/>
      <c r="D6" s="3"/>
      <c r="E6" s="3"/>
      <c r="F6" s="2"/>
      <c r="G6" s="2"/>
      <c r="H6" s="2"/>
      <c r="I6" s="2"/>
    </row>
    <row r="7" spans="1:9" ht="15" x14ac:dyDescent="0.2">
      <c r="A7" s="5"/>
      <c r="B7" s="6"/>
      <c r="C7" s="6"/>
      <c r="D7" s="72" t="s">
        <v>4</v>
      </c>
      <c r="E7" s="72"/>
      <c r="F7" s="72"/>
      <c r="G7" s="7" t="s">
        <v>5</v>
      </c>
      <c r="H7" s="5"/>
      <c r="I7" s="5"/>
    </row>
    <row r="8" spans="1:9" s="5" customFormat="1" ht="20.100000000000001" customHeight="1" x14ac:dyDescent="0.2">
      <c r="A8" s="5" t="s">
        <v>6</v>
      </c>
      <c r="B8" s="6" t="s">
        <v>7</v>
      </c>
      <c r="C8" s="6"/>
      <c r="D8" s="6" t="s">
        <v>8</v>
      </c>
      <c r="E8" s="6" t="s">
        <v>9</v>
      </c>
      <c r="F8" s="6" t="s">
        <v>10</v>
      </c>
      <c r="G8" s="7"/>
    </row>
    <row r="9" spans="1:9" ht="14.25" x14ac:dyDescent="0.2">
      <c r="A9" s="2" t="s">
        <v>11</v>
      </c>
      <c r="B9" s="3">
        <f>Linha1!D54</f>
        <v>8.3500085844713432</v>
      </c>
      <c r="C9" s="3"/>
      <c r="D9" s="4">
        <f>Linha1!B7</f>
        <v>12.2</v>
      </c>
      <c r="E9" s="4">
        <f>Linha1!B6</f>
        <v>14.2</v>
      </c>
      <c r="F9" s="8">
        <f>D9+E9</f>
        <v>26.4</v>
      </c>
      <c r="G9" s="9">
        <f>F9*B9</f>
        <v>220.44022663004344</v>
      </c>
      <c r="H9" s="10">
        <f>Linha1!$B$52</f>
        <v>220.44022663004347</v>
      </c>
      <c r="I9" s="11" t="b">
        <f>G9=H9</f>
        <v>1</v>
      </c>
    </row>
    <row r="10" spans="1:9" ht="14.25" x14ac:dyDescent="0.2">
      <c r="A10" s="2"/>
      <c r="B10" s="3"/>
      <c r="C10" s="3"/>
      <c r="D10" s="3"/>
      <c r="E10" s="3"/>
      <c r="F10" s="2"/>
      <c r="G10" s="2"/>
      <c r="H10" s="2"/>
      <c r="I10" s="2"/>
    </row>
    <row r="11" spans="1:9" ht="14.25" x14ac:dyDescent="0.2">
      <c r="A11" s="2" t="s">
        <v>12</v>
      </c>
      <c r="B11" s="3">
        <f>SMALL($B$9:$B$9,1)</f>
        <v>8.3500085844713432</v>
      </c>
      <c r="C11" s="3"/>
      <c r="D11" s="3"/>
      <c r="E11" s="3"/>
      <c r="F11" s="2"/>
      <c r="G11" s="2"/>
      <c r="H11" s="2"/>
      <c r="I11" s="2"/>
    </row>
    <row r="12" spans="1:9" ht="14.25" x14ac:dyDescent="0.2">
      <c r="A12" s="2" t="s">
        <v>13</v>
      </c>
      <c r="B12" s="3">
        <f>LARGE($B$9:$B$9,1)</f>
        <v>8.3500085844713432</v>
      </c>
      <c r="C12" s="12">
        <f>(B12-B11)/B11</f>
        <v>0</v>
      </c>
      <c r="D12" s="3"/>
      <c r="E12" s="3"/>
      <c r="F12" s="2"/>
      <c r="G12" s="2"/>
      <c r="H12" s="2"/>
      <c r="I12" s="2"/>
    </row>
  </sheetData>
  <mergeCells count="1">
    <mergeCell ref="D7:F7"/>
  </mergeCells>
  <pageMargins left="1.10208333333333" right="0.51180555555555496" top="0.98402777777777795" bottom="0.78749999999999998" header="0.51180555555555496" footer="0.51180555555555496"/>
  <pageSetup paperSize="9" firstPageNumber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62"/>
  <sheetViews>
    <sheetView showGridLines="0" tabSelected="1" zoomScale="80" zoomScaleNormal="80" workbookViewId="0">
      <selection activeCell="B15" sqref="B15:D15"/>
    </sheetView>
  </sheetViews>
  <sheetFormatPr defaultRowHeight="12.75" x14ac:dyDescent="0.2"/>
  <cols>
    <col min="1" max="1" width="41.85546875" customWidth="1"/>
    <col min="2" max="2" width="14.85546875" bestFit="1" customWidth="1"/>
    <col min="3" max="4" width="12.5703125" customWidth="1"/>
    <col min="5" max="5" width="11" bestFit="1" customWidth="1"/>
    <col min="6" max="6" width="8.7109375" customWidth="1"/>
    <col min="7" max="7" width="30.5703125" bestFit="1" customWidth="1"/>
    <col min="8" max="8" width="12.42578125" bestFit="1" customWidth="1"/>
    <col min="9" max="9" width="11.5703125" customWidth="1"/>
    <col min="10" max="10" width="10.42578125" style="1" bestFit="1" customWidth="1"/>
    <col min="11" max="1025" width="8.7109375" customWidth="1"/>
  </cols>
  <sheetData>
    <row r="1" spans="1:10" ht="13.5" customHeight="1" x14ac:dyDescent="0.2">
      <c r="A1" s="64" t="s">
        <v>83</v>
      </c>
      <c r="B1" s="64"/>
      <c r="C1" s="64"/>
      <c r="D1" s="64"/>
      <c r="E1" s="2"/>
      <c r="F1" s="2"/>
      <c r="G1" s="2"/>
      <c r="H1" s="2"/>
      <c r="I1" s="2"/>
      <c r="J1" s="3"/>
    </row>
    <row r="2" spans="1:10" ht="8.1" customHeight="1" x14ac:dyDescent="0.2">
      <c r="A2" s="13"/>
      <c r="B2" s="13"/>
      <c r="C2" s="13"/>
      <c r="D2" s="13"/>
      <c r="E2" s="2"/>
      <c r="F2" s="2"/>
      <c r="G2" s="2"/>
      <c r="H2" s="2"/>
      <c r="I2" s="2"/>
      <c r="J2" s="3"/>
    </row>
    <row r="3" spans="1:10" ht="13.5" customHeight="1" x14ac:dyDescent="0.2">
      <c r="A3" s="65" t="s">
        <v>89</v>
      </c>
      <c r="B3" s="65"/>
      <c r="C3" s="65"/>
      <c r="D3" s="65"/>
      <c r="E3" s="14"/>
      <c r="F3" s="2"/>
      <c r="G3" s="2"/>
      <c r="H3" s="2"/>
      <c r="I3" s="2"/>
      <c r="J3" s="3"/>
    </row>
    <row r="4" spans="1:10" ht="8.1" customHeight="1" x14ac:dyDescent="0.2">
      <c r="A4" s="15"/>
      <c r="B4" s="15"/>
      <c r="C4" s="15"/>
      <c r="D4" s="15"/>
      <c r="E4" s="14"/>
      <c r="F4" s="2"/>
      <c r="G4" s="2"/>
      <c r="H4" s="2"/>
      <c r="I4" s="2"/>
      <c r="J4" s="3"/>
    </row>
    <row r="5" spans="1:10" ht="13.5" customHeight="1" x14ac:dyDescent="0.2">
      <c r="A5" s="16" t="s">
        <v>14</v>
      </c>
      <c r="B5" s="17"/>
      <c r="C5" s="17"/>
      <c r="D5" s="17"/>
      <c r="E5" s="14"/>
      <c r="F5" s="2"/>
      <c r="G5" s="2"/>
      <c r="H5" s="2"/>
      <c r="I5" s="2"/>
      <c r="J5" s="3"/>
    </row>
    <row r="6" spans="1:10" ht="13.5" customHeight="1" x14ac:dyDescent="0.2">
      <c r="A6" s="2" t="s">
        <v>15</v>
      </c>
      <c r="B6" s="66">
        <v>14.2</v>
      </c>
      <c r="C6" s="66"/>
      <c r="D6" s="66"/>
      <c r="E6" s="2"/>
      <c r="F6" s="2"/>
      <c r="G6" s="63" t="s">
        <v>16</v>
      </c>
      <c r="H6" s="63"/>
      <c r="I6" s="63"/>
      <c r="J6" s="63"/>
    </row>
    <row r="7" spans="1:10" ht="13.5" customHeight="1" x14ac:dyDescent="0.2">
      <c r="A7" s="2" t="s">
        <v>17</v>
      </c>
      <c r="B7" s="66">
        <v>12.2</v>
      </c>
      <c r="C7" s="66"/>
      <c r="D7" s="66"/>
      <c r="E7" s="2"/>
      <c r="F7" s="2"/>
      <c r="G7" s="2"/>
      <c r="H7" s="2"/>
      <c r="I7" s="2"/>
      <c r="J7" s="3"/>
    </row>
    <row r="8" spans="1:10" ht="13.5" customHeight="1" x14ac:dyDescent="0.2">
      <c r="A8" s="2" t="s">
        <v>18</v>
      </c>
      <c r="B8" s="67">
        <f>(B6+B7)</f>
        <v>26.4</v>
      </c>
      <c r="C8" s="67"/>
      <c r="D8" s="67"/>
      <c r="E8" s="2"/>
      <c r="F8" s="2"/>
      <c r="G8" s="33" t="s">
        <v>19</v>
      </c>
      <c r="H8" s="33"/>
      <c r="I8" s="34">
        <f>Resumo!B5</f>
        <v>3200</v>
      </c>
      <c r="J8" s="34"/>
    </row>
    <row r="9" spans="1:10" ht="13.5" customHeight="1" x14ac:dyDescent="0.2">
      <c r="A9" s="2" t="s">
        <v>20</v>
      </c>
      <c r="B9" s="60" t="s">
        <v>84</v>
      </c>
      <c r="C9" s="60"/>
      <c r="D9" s="60"/>
      <c r="E9" s="2"/>
      <c r="F9" s="2"/>
      <c r="G9" s="33" t="s">
        <v>21</v>
      </c>
      <c r="H9" s="33"/>
      <c r="I9" s="35">
        <f>B8</f>
        <v>26.4</v>
      </c>
      <c r="J9" s="36"/>
    </row>
    <row r="10" spans="1:10" ht="13.5" customHeight="1" x14ac:dyDescent="0.2">
      <c r="A10" s="2" t="s">
        <v>22</v>
      </c>
      <c r="B10" s="52">
        <v>500000</v>
      </c>
      <c r="C10" s="52"/>
      <c r="D10" s="52"/>
      <c r="E10" s="2"/>
      <c r="F10" s="2"/>
      <c r="G10" s="33" t="s">
        <v>23</v>
      </c>
      <c r="H10" s="33"/>
      <c r="I10" s="33">
        <f>B19</f>
        <v>5</v>
      </c>
      <c r="J10" s="36"/>
    </row>
    <row r="11" spans="1:10" ht="13.5" customHeight="1" x14ac:dyDescent="0.2">
      <c r="A11" s="2" t="s">
        <v>24</v>
      </c>
      <c r="B11" s="68">
        <f>I12</f>
        <v>4.1250000000000002E-2</v>
      </c>
      <c r="C11" s="68"/>
      <c r="D11" s="68"/>
      <c r="E11" s="2"/>
      <c r="F11" s="2"/>
      <c r="G11" s="33" t="s">
        <v>25</v>
      </c>
      <c r="H11" s="33"/>
      <c r="I11" s="34">
        <f>I9*I10</f>
        <v>132</v>
      </c>
      <c r="J11" s="34"/>
    </row>
    <row r="12" spans="1:10" ht="13.5" customHeight="1" x14ac:dyDescent="0.2">
      <c r="A12" s="2" t="s">
        <v>26</v>
      </c>
      <c r="B12" s="69">
        <v>10</v>
      </c>
      <c r="C12" s="69"/>
      <c r="D12" s="69"/>
      <c r="E12" s="2"/>
      <c r="F12" s="2"/>
      <c r="G12" s="33" t="s">
        <v>27</v>
      </c>
      <c r="H12" s="33"/>
      <c r="I12" s="37">
        <f>IF((I11/I8)&gt;1,1,I11/I8)</f>
        <v>4.1250000000000002E-2</v>
      </c>
      <c r="J12" s="38"/>
    </row>
    <row r="13" spans="1:10" ht="13.5" customHeight="1" x14ac:dyDescent="0.2">
      <c r="A13" s="2" t="s">
        <v>28</v>
      </c>
      <c r="B13" s="52">
        <v>7.5</v>
      </c>
      <c r="C13" s="52"/>
      <c r="D13" s="52"/>
      <c r="E13" s="2"/>
      <c r="F13" s="2"/>
      <c r="G13" s="2"/>
      <c r="H13" s="2"/>
      <c r="I13" s="2"/>
      <c r="J13" s="3"/>
    </row>
    <row r="14" spans="1:10" ht="13.5" customHeight="1" x14ac:dyDescent="0.2">
      <c r="A14" s="2" t="s">
        <v>29</v>
      </c>
      <c r="B14" s="70">
        <v>4.5999999999999996</v>
      </c>
      <c r="C14" s="70"/>
      <c r="D14" s="70"/>
      <c r="E14" s="2"/>
      <c r="F14" s="2"/>
      <c r="G14" s="2"/>
      <c r="H14" s="2"/>
      <c r="I14" s="2"/>
      <c r="J14" s="3"/>
    </row>
    <row r="15" spans="1:10" ht="13.5" customHeight="1" x14ac:dyDescent="0.2">
      <c r="A15" s="2" t="s">
        <v>30</v>
      </c>
      <c r="B15" s="66">
        <f>B14*0.8</f>
        <v>3.6799999999999997</v>
      </c>
      <c r="C15" s="66"/>
      <c r="D15" s="66"/>
      <c r="E15" s="2"/>
      <c r="F15" s="2"/>
      <c r="G15" s="2"/>
      <c r="H15" s="2"/>
      <c r="I15" s="2"/>
      <c r="J15" s="3"/>
    </row>
    <row r="16" spans="1:10" ht="13.5" customHeight="1" x14ac:dyDescent="0.2">
      <c r="A16" s="2" t="s">
        <v>31</v>
      </c>
      <c r="B16" s="71">
        <f>(H21+H27+H32+H35)</f>
        <v>0.62429819023569022</v>
      </c>
      <c r="C16" s="71"/>
      <c r="D16" s="71"/>
      <c r="E16" s="2"/>
      <c r="F16" s="2"/>
      <c r="G16" s="63" t="s">
        <v>36</v>
      </c>
      <c r="H16" s="63"/>
      <c r="I16" s="2"/>
      <c r="J16" s="3">
        <f>B23*20</f>
        <v>692.66562791639217</v>
      </c>
    </row>
    <row r="17" spans="1:10" ht="13.5" customHeight="1" x14ac:dyDescent="0.2">
      <c r="A17" s="2" t="s">
        <v>32</v>
      </c>
      <c r="B17" s="52">
        <f>B16*1.3</f>
        <v>0.81158764730639732</v>
      </c>
      <c r="C17" s="52"/>
      <c r="D17" s="52"/>
      <c r="E17" s="2"/>
      <c r="F17" s="2"/>
      <c r="G17" s="39" t="s">
        <v>63</v>
      </c>
      <c r="H17" s="40"/>
      <c r="I17" s="2"/>
      <c r="J17" s="3"/>
    </row>
    <row r="18" spans="1:10" ht="13.5" customHeight="1" x14ac:dyDescent="0.2">
      <c r="A18" s="2" t="s">
        <v>80</v>
      </c>
      <c r="B18" s="60">
        <v>45</v>
      </c>
      <c r="C18" s="60"/>
      <c r="D18" s="60"/>
      <c r="E18" s="2"/>
      <c r="F18" s="2"/>
      <c r="G18" s="41" t="s">
        <v>75</v>
      </c>
      <c r="H18" s="42">
        <v>60</v>
      </c>
      <c r="I18" s="2"/>
      <c r="J18" s="3"/>
    </row>
    <row r="19" spans="1:10" ht="13.5" customHeight="1" thickBot="1" x14ac:dyDescent="0.25">
      <c r="A19" s="18" t="s">
        <v>81</v>
      </c>
      <c r="B19" s="61">
        <v>5</v>
      </c>
      <c r="C19" s="61"/>
      <c r="D19" s="61"/>
      <c r="E19" s="2"/>
      <c r="F19" s="2"/>
      <c r="G19" s="41" t="s">
        <v>85</v>
      </c>
      <c r="H19" s="42">
        <f>H18*20</f>
        <v>1200</v>
      </c>
      <c r="I19" s="2"/>
      <c r="J19" s="3"/>
    </row>
    <row r="20" spans="1:10" ht="15" thickTop="1" x14ac:dyDescent="0.2">
      <c r="A20" s="2"/>
      <c r="B20" s="2"/>
      <c r="C20" s="2"/>
      <c r="D20" s="2"/>
      <c r="E20" s="2"/>
      <c r="F20" s="2"/>
      <c r="G20" s="41" t="s">
        <v>88</v>
      </c>
      <c r="H20" s="43">
        <v>10000</v>
      </c>
      <c r="I20" s="2"/>
      <c r="J20" s="3"/>
    </row>
    <row r="21" spans="1:10" ht="17.25" thickBot="1" x14ac:dyDescent="0.4">
      <c r="A21" s="19" t="s">
        <v>33</v>
      </c>
      <c r="B21" s="62" t="s">
        <v>34</v>
      </c>
      <c r="C21" s="62"/>
      <c r="D21" s="62"/>
      <c r="E21" s="2"/>
      <c r="F21" s="2"/>
      <c r="G21" s="44" t="s">
        <v>64</v>
      </c>
      <c r="H21" s="45">
        <f>H19/H20</f>
        <v>0.12</v>
      </c>
      <c r="I21" s="2"/>
      <c r="J21" s="3"/>
    </row>
    <row r="22" spans="1:10" ht="13.5" customHeight="1" thickTop="1" x14ac:dyDescent="0.2">
      <c r="A22" s="2" t="s">
        <v>35</v>
      </c>
      <c r="B22" s="52">
        <f>(B6*B13/B14)+(B7*B13/B15)</f>
        <v>48.016304347826093</v>
      </c>
      <c r="C22" s="52"/>
      <c r="D22" s="52"/>
      <c r="E22" s="2"/>
      <c r="F22" s="2"/>
      <c r="G22" s="39" t="s">
        <v>72</v>
      </c>
      <c r="H22" s="46"/>
      <c r="I22" s="2"/>
      <c r="J22" s="3"/>
    </row>
    <row r="23" spans="1:10" ht="13.5" customHeight="1" thickBot="1" x14ac:dyDescent="0.25">
      <c r="A23" s="18" t="s">
        <v>36</v>
      </c>
      <c r="B23" s="56">
        <f>(B6*B13/B14*B16)+(B7*B13/B15*B17)</f>
        <v>34.633281395819608</v>
      </c>
      <c r="C23" s="56"/>
      <c r="D23" s="56"/>
      <c r="E23" s="2"/>
      <c r="F23" s="2"/>
      <c r="G23" s="41" t="s">
        <v>65</v>
      </c>
      <c r="H23" s="42">
        <v>1750</v>
      </c>
      <c r="I23" s="2"/>
      <c r="J23" s="3"/>
    </row>
    <row r="24" spans="1:10" ht="13.5" customHeight="1" thickTop="1" x14ac:dyDescent="0.25">
      <c r="A24" s="21" t="s">
        <v>10</v>
      </c>
      <c r="B24" s="58">
        <f>SUM(B22:B23)</f>
        <v>82.649585743645702</v>
      </c>
      <c r="C24" s="58"/>
      <c r="D24" s="58"/>
      <c r="E24" s="2"/>
      <c r="F24" s="2"/>
      <c r="G24" s="41" t="s">
        <v>66</v>
      </c>
      <c r="H24" s="46">
        <v>2</v>
      </c>
      <c r="I24" s="2"/>
      <c r="J24" s="3"/>
    </row>
    <row r="25" spans="1:10" ht="13.5" customHeight="1" x14ac:dyDescent="0.2">
      <c r="A25" s="2"/>
      <c r="B25" s="2"/>
      <c r="C25" s="2"/>
      <c r="D25" s="2"/>
      <c r="E25" s="2"/>
      <c r="F25" s="2"/>
      <c r="G25" s="41" t="s">
        <v>87</v>
      </c>
      <c r="H25" s="42">
        <f>H23*H24</f>
        <v>3500</v>
      </c>
      <c r="I25" s="2"/>
      <c r="J25" s="3"/>
    </row>
    <row r="26" spans="1:10" ht="13.5" customHeight="1" thickBot="1" x14ac:dyDescent="0.25">
      <c r="A26" s="16" t="s">
        <v>37</v>
      </c>
      <c r="B26" s="17" t="s">
        <v>34</v>
      </c>
      <c r="C26" s="17" t="s">
        <v>38</v>
      </c>
      <c r="D26" s="17" t="s">
        <v>39</v>
      </c>
      <c r="E26" s="17" t="s">
        <v>40</v>
      </c>
      <c r="F26" s="2"/>
      <c r="G26" s="41" t="s">
        <v>67</v>
      </c>
      <c r="H26" s="46">
        <v>27000</v>
      </c>
      <c r="I26" s="2"/>
      <c r="J26" s="3"/>
    </row>
    <row r="27" spans="1:10" ht="13.5" customHeight="1" thickTop="1" x14ac:dyDescent="0.2">
      <c r="A27" s="2" t="s">
        <v>41</v>
      </c>
      <c r="B27" s="22">
        <f t="shared" ref="B27:B32" si="0">C27/$B$19</f>
        <v>3.4375</v>
      </c>
      <c r="C27" s="22">
        <f t="shared" ref="C27:C32" si="1">D27/12</f>
        <v>17.1875</v>
      </c>
      <c r="D27" s="22">
        <f t="shared" ref="D27:D32" si="2">E27*$B$11</f>
        <v>206.25</v>
      </c>
      <c r="E27" s="22">
        <f>B10*0.01</f>
        <v>5000</v>
      </c>
      <c r="F27" s="2"/>
      <c r="G27" s="44" t="s">
        <v>68</v>
      </c>
      <c r="H27" s="47">
        <f>H25/H26</f>
        <v>0.12962962962962962</v>
      </c>
      <c r="I27" s="2"/>
      <c r="J27" s="3"/>
    </row>
    <row r="28" spans="1:10" ht="13.5" customHeight="1" x14ac:dyDescent="0.2">
      <c r="A28" s="2" t="s">
        <v>42</v>
      </c>
      <c r="B28" s="22">
        <f t="shared" si="0"/>
        <v>6.8750000000000006E-2</v>
      </c>
      <c r="C28" s="22">
        <f t="shared" si="1"/>
        <v>0.34375</v>
      </c>
      <c r="D28" s="22">
        <f t="shared" si="2"/>
        <v>4.125</v>
      </c>
      <c r="E28" s="22">
        <v>100</v>
      </c>
      <c r="F28" s="2"/>
      <c r="G28" s="48" t="s">
        <v>73</v>
      </c>
      <c r="H28" s="42">
        <v>700</v>
      </c>
      <c r="I28" s="2"/>
      <c r="J28" s="3"/>
    </row>
    <row r="29" spans="1:10" ht="13.5" customHeight="1" x14ac:dyDescent="0.2">
      <c r="A29" s="2" t="s">
        <v>43</v>
      </c>
      <c r="B29" s="22">
        <f t="shared" si="0"/>
        <v>3.09375E-2</v>
      </c>
      <c r="C29" s="22">
        <f t="shared" si="1"/>
        <v>0.15468750000000001</v>
      </c>
      <c r="D29" s="22">
        <f t="shared" si="2"/>
        <v>1.8562500000000002</v>
      </c>
      <c r="E29" s="22">
        <v>45</v>
      </c>
      <c r="F29" s="2"/>
      <c r="G29" s="41" t="s">
        <v>66</v>
      </c>
      <c r="H29" s="46">
        <v>4</v>
      </c>
      <c r="I29" s="2"/>
      <c r="J29" s="3"/>
    </row>
    <row r="30" spans="1:10" ht="13.5" customHeight="1" x14ac:dyDescent="0.2">
      <c r="A30" s="2" t="s">
        <v>44</v>
      </c>
      <c r="B30" s="22">
        <f t="shared" si="0"/>
        <v>0.16500000000000001</v>
      </c>
      <c r="C30" s="22">
        <f t="shared" si="1"/>
        <v>0.82500000000000007</v>
      </c>
      <c r="D30" s="22">
        <f t="shared" si="2"/>
        <v>9.9</v>
      </c>
      <c r="E30" s="22">
        <v>240</v>
      </c>
      <c r="F30" s="2"/>
      <c r="G30" s="41" t="s">
        <v>87</v>
      </c>
      <c r="H30" s="42">
        <f>H28*H29</f>
        <v>2800</v>
      </c>
      <c r="I30" s="2"/>
      <c r="J30" s="3"/>
    </row>
    <row r="31" spans="1:10" ht="13.5" customHeight="1" x14ac:dyDescent="0.2">
      <c r="A31" s="2" t="s">
        <v>45</v>
      </c>
      <c r="B31" s="22">
        <f t="shared" si="0"/>
        <v>0.11000000000000001</v>
      </c>
      <c r="C31" s="22">
        <f t="shared" si="1"/>
        <v>0.55000000000000004</v>
      </c>
      <c r="D31" s="22">
        <f t="shared" si="2"/>
        <v>6.6000000000000005</v>
      </c>
      <c r="E31" s="22">
        <v>160</v>
      </c>
      <c r="F31" s="2"/>
      <c r="G31" s="41" t="s">
        <v>67</v>
      </c>
      <c r="H31" s="46">
        <v>22000</v>
      </c>
      <c r="I31" s="2"/>
      <c r="J31" s="3"/>
    </row>
    <row r="32" spans="1:10" ht="13.5" customHeight="1" thickBot="1" x14ac:dyDescent="0.25">
      <c r="A32" s="18" t="s">
        <v>46</v>
      </c>
      <c r="B32" s="20">
        <f t="shared" si="0"/>
        <v>34.375</v>
      </c>
      <c r="C32" s="20">
        <f t="shared" si="1"/>
        <v>171.875</v>
      </c>
      <c r="D32" s="20">
        <f t="shared" si="2"/>
        <v>2062.5</v>
      </c>
      <c r="E32" s="20">
        <f>B10/B12</f>
        <v>50000</v>
      </c>
      <c r="F32" s="2"/>
      <c r="G32" s="44" t="s">
        <v>74</v>
      </c>
      <c r="H32" s="47">
        <f>H30/H31</f>
        <v>0.12727272727272726</v>
      </c>
      <c r="I32" s="2"/>
      <c r="J32" s="3"/>
    </row>
    <row r="33" spans="1:10" ht="13.5" customHeight="1" thickTop="1" x14ac:dyDescent="0.25">
      <c r="A33" s="23" t="s">
        <v>10</v>
      </c>
      <c r="B33" s="30">
        <f>SUM(B27:B32)</f>
        <v>38.1871875</v>
      </c>
      <c r="C33" s="22">
        <f>SUM(C27:C32)</f>
        <v>190.93593749999999</v>
      </c>
      <c r="D33" s="22">
        <f>SUM(D27:D32)</f>
        <v>2291.2312499999998</v>
      </c>
      <c r="E33" s="22">
        <f>SUM(E27:E32)</f>
        <v>55545</v>
      </c>
      <c r="F33" s="2"/>
      <c r="G33" s="39" t="s">
        <v>70</v>
      </c>
      <c r="H33" s="49"/>
      <c r="I33" s="2"/>
      <c r="J33" s="3"/>
    </row>
    <row r="34" spans="1:10" ht="13.5" customHeight="1" x14ac:dyDescent="0.2">
      <c r="A34" s="2"/>
      <c r="B34" s="2"/>
      <c r="C34" s="2"/>
      <c r="D34" s="2"/>
      <c r="E34" s="2"/>
      <c r="F34" s="2"/>
      <c r="G34" s="41" t="s">
        <v>71</v>
      </c>
      <c r="H34" s="46">
        <v>9500</v>
      </c>
      <c r="I34" s="2"/>
      <c r="J34" s="3"/>
    </row>
    <row r="35" spans="1:10" ht="13.5" customHeight="1" thickBot="1" x14ac:dyDescent="0.25">
      <c r="A35" s="19" t="s">
        <v>47</v>
      </c>
      <c r="B35" s="18"/>
      <c r="C35" s="17" t="s">
        <v>34</v>
      </c>
      <c r="D35" s="17" t="s">
        <v>39</v>
      </c>
      <c r="E35" s="2"/>
      <c r="F35" s="2"/>
      <c r="G35" s="44" t="s">
        <v>69</v>
      </c>
      <c r="H35" s="51">
        <f>(H34/($I$11*12))*B11</f>
        <v>0.24739583333333334</v>
      </c>
      <c r="I35" s="2"/>
      <c r="J35" s="3"/>
    </row>
    <row r="36" spans="1:10" ht="13.5" customHeight="1" thickTop="1" x14ac:dyDescent="0.2">
      <c r="A36" s="2" t="s">
        <v>48</v>
      </c>
      <c r="B36" s="24">
        <v>3000</v>
      </c>
      <c r="C36" s="22">
        <f>D36/$B$19</f>
        <v>24.75</v>
      </c>
      <c r="D36" s="22">
        <f>B36*B11</f>
        <v>123.75</v>
      </c>
      <c r="E36" s="2"/>
      <c r="F36" s="2"/>
      <c r="G36" s="2"/>
      <c r="H36" s="25"/>
      <c r="I36" s="2"/>
      <c r="J36" s="3"/>
    </row>
    <row r="37" spans="1:10" ht="13.5" customHeight="1" x14ac:dyDescent="0.2">
      <c r="A37" s="2" t="s">
        <v>49</v>
      </c>
      <c r="B37" s="2"/>
      <c r="C37" s="22">
        <f>D37/$B$19</f>
        <v>2.0625</v>
      </c>
      <c r="D37" s="22">
        <f>D36/12</f>
        <v>10.3125</v>
      </c>
      <c r="E37" s="2"/>
      <c r="F37" s="2"/>
      <c r="G37" s="2"/>
      <c r="H37" s="2"/>
      <c r="I37" s="2"/>
      <c r="J37" s="3"/>
    </row>
    <row r="38" spans="1:10" ht="13.5" customHeight="1" x14ac:dyDescent="0.2">
      <c r="A38" s="2" t="s">
        <v>50</v>
      </c>
      <c r="B38" s="2"/>
      <c r="C38" s="22">
        <f>D38/$B$19</f>
        <v>0.68743124999999994</v>
      </c>
      <c r="D38" s="22">
        <f>(D36*0.3333)/12</f>
        <v>3.4371562499999997</v>
      </c>
      <c r="E38" s="2"/>
      <c r="F38" s="2"/>
      <c r="G38" s="2"/>
      <c r="H38" s="2"/>
      <c r="I38" s="2"/>
      <c r="J38" s="3"/>
    </row>
    <row r="39" spans="1:10" ht="13.5" customHeight="1" x14ac:dyDescent="0.2">
      <c r="A39" s="2" t="s">
        <v>51</v>
      </c>
      <c r="B39" s="2"/>
      <c r="C39" s="22">
        <f>D39/$B$19</f>
        <v>6.0499848749999989</v>
      </c>
      <c r="D39" s="22">
        <f>(D36+D37+D38)*0.22</f>
        <v>30.249924374999996</v>
      </c>
      <c r="E39" s="2"/>
      <c r="F39" s="2"/>
      <c r="G39" s="2"/>
      <c r="H39" s="2"/>
      <c r="I39" s="2"/>
      <c r="J39" s="3"/>
    </row>
    <row r="40" spans="1:10" ht="13.5" customHeight="1" x14ac:dyDescent="0.2">
      <c r="A40" s="18" t="s">
        <v>52</v>
      </c>
      <c r="B40" s="18"/>
      <c r="C40" s="20">
        <f>D40/$B$19</f>
        <v>2.33749415625</v>
      </c>
      <c r="D40" s="20">
        <f>(D36+D37+D38)*0.085</f>
        <v>11.687470781249999</v>
      </c>
      <c r="E40" s="2"/>
      <c r="F40" s="2"/>
      <c r="G40" s="2"/>
      <c r="H40" s="2"/>
      <c r="I40" s="2"/>
      <c r="J40" s="3"/>
    </row>
    <row r="41" spans="1:10" ht="13.5" customHeight="1" x14ac:dyDescent="0.25">
      <c r="A41" s="21" t="s">
        <v>10</v>
      </c>
      <c r="B41" s="21"/>
      <c r="C41" s="30">
        <f>SUM(C36:C40)</f>
        <v>35.887410281249998</v>
      </c>
      <c r="D41" s="22">
        <f>SUM(D36:D40)</f>
        <v>179.43705140624999</v>
      </c>
      <c r="E41" s="2"/>
      <c r="F41" s="2"/>
      <c r="G41" s="2"/>
      <c r="H41" s="2"/>
      <c r="I41" s="2"/>
      <c r="J41" s="3"/>
    </row>
    <row r="42" spans="1:10" ht="13.5" customHeight="1" x14ac:dyDescent="0.2">
      <c r="A42" s="2"/>
      <c r="B42" s="2"/>
      <c r="C42" s="26"/>
      <c r="D42" s="2"/>
      <c r="E42" s="2"/>
      <c r="F42" s="2"/>
      <c r="G42" s="2"/>
      <c r="H42" s="2"/>
      <c r="I42" s="2"/>
      <c r="J42" s="3"/>
    </row>
    <row r="43" spans="1:10" ht="13.5" customHeight="1" x14ac:dyDescent="0.2">
      <c r="A43" s="19" t="s">
        <v>53</v>
      </c>
      <c r="B43" s="18"/>
      <c r="C43" s="18"/>
      <c r="D43" s="27"/>
      <c r="E43" s="2"/>
      <c r="F43" s="2"/>
      <c r="G43" s="2"/>
      <c r="H43" s="2"/>
      <c r="I43" s="2"/>
      <c r="J43" s="3"/>
    </row>
    <row r="44" spans="1:10" ht="13.5" customHeight="1" x14ac:dyDescent="0.25">
      <c r="A44" s="21" t="s">
        <v>54</v>
      </c>
      <c r="B44" s="59">
        <f>B24+B33+C41</f>
        <v>156.72418352489569</v>
      </c>
      <c r="C44" s="59"/>
      <c r="D44" s="59"/>
      <c r="E44" s="2"/>
      <c r="F44" s="2"/>
      <c r="G44" s="2"/>
      <c r="H44" s="2"/>
      <c r="I44" s="2"/>
      <c r="J44" s="3"/>
    </row>
    <row r="45" spans="1:10" ht="13.5" customHeight="1" x14ac:dyDescent="0.2">
      <c r="A45" s="18" t="s">
        <v>62</v>
      </c>
      <c r="B45" s="56">
        <f>B44/0.8</f>
        <v>195.90522940611962</v>
      </c>
      <c r="C45" s="56"/>
      <c r="D45" s="56"/>
      <c r="E45" s="2"/>
      <c r="F45" s="2"/>
      <c r="G45" s="2"/>
      <c r="H45" s="2"/>
      <c r="I45" s="2"/>
      <c r="J45" s="3"/>
    </row>
    <row r="46" spans="1:10" ht="13.5" customHeight="1" x14ac:dyDescent="0.2">
      <c r="A46" s="2" t="s">
        <v>55</v>
      </c>
      <c r="B46" s="52">
        <f>SUM(B47:B51)</f>
        <v>24.534997223923838</v>
      </c>
      <c r="C46" s="52"/>
      <c r="D46" s="52"/>
      <c r="E46" s="2"/>
      <c r="F46" s="2"/>
      <c r="G46" s="2"/>
      <c r="H46" s="2"/>
      <c r="I46" s="2"/>
      <c r="J46" s="3"/>
    </row>
    <row r="47" spans="1:10" ht="13.5" customHeight="1" x14ac:dyDescent="0.2">
      <c r="A47" s="28" t="s">
        <v>56</v>
      </c>
      <c r="B47" s="52">
        <f>B52*0.03</f>
        <v>6.6132067989013041</v>
      </c>
      <c r="C47" s="52"/>
      <c r="D47" s="52"/>
      <c r="E47" s="2"/>
      <c r="F47" s="2"/>
      <c r="G47" s="2"/>
      <c r="H47" s="2"/>
      <c r="I47" s="2"/>
      <c r="J47" s="3"/>
    </row>
    <row r="48" spans="1:10" ht="13.5" customHeight="1" x14ac:dyDescent="0.2">
      <c r="A48" s="28" t="s">
        <v>57</v>
      </c>
      <c r="B48" s="52">
        <f>B52*0.0065</f>
        <v>1.4328614730952824</v>
      </c>
      <c r="C48" s="52"/>
      <c r="D48" s="52"/>
      <c r="E48" s="2"/>
      <c r="F48" s="2"/>
      <c r="G48" s="2"/>
      <c r="H48" s="2"/>
      <c r="I48" s="2"/>
      <c r="J48" s="3"/>
    </row>
    <row r="49" spans="1:10" ht="13.5" customHeight="1" x14ac:dyDescent="0.2">
      <c r="A49" s="28" t="s">
        <v>58</v>
      </c>
      <c r="B49" s="52">
        <f>B52*0.024</f>
        <v>5.2905654391210435</v>
      </c>
      <c r="C49" s="52"/>
      <c r="D49" s="52"/>
      <c r="E49" s="2"/>
      <c r="F49" s="26"/>
      <c r="G49" s="2"/>
      <c r="H49" s="2"/>
      <c r="I49" s="2"/>
      <c r="J49" s="3"/>
    </row>
    <row r="50" spans="1:10" ht="13.5" customHeight="1" x14ac:dyDescent="0.2">
      <c r="A50" s="28" t="s">
        <v>59</v>
      </c>
      <c r="B50" s="52">
        <f>B52*0.0108</f>
        <v>2.3807544476044695</v>
      </c>
      <c r="C50" s="52"/>
      <c r="D50" s="52"/>
      <c r="E50" s="2"/>
      <c r="F50" s="2"/>
      <c r="G50" s="2"/>
      <c r="H50" s="2"/>
      <c r="I50" s="2"/>
      <c r="J50" s="3"/>
    </row>
    <row r="51" spans="1:10" ht="13.5" customHeight="1" x14ac:dyDescent="0.2">
      <c r="A51" s="29" t="s">
        <v>86</v>
      </c>
      <c r="B51" s="56">
        <f>B52*0.04</f>
        <v>8.8176090652017383</v>
      </c>
      <c r="C51" s="56"/>
      <c r="D51" s="56"/>
      <c r="E51" s="2"/>
      <c r="F51" s="2"/>
      <c r="G51" s="2"/>
      <c r="H51" s="2"/>
      <c r="I51" s="2"/>
      <c r="J51" s="3"/>
    </row>
    <row r="52" spans="1:10" ht="13.5" customHeight="1" x14ac:dyDescent="0.25">
      <c r="A52" s="21" t="s">
        <v>60</v>
      </c>
      <c r="B52" s="57">
        <f>B45/(1-0.03-0.0065-0.024-0.0108-0.04)</f>
        <v>220.44022663004347</v>
      </c>
      <c r="C52" s="57"/>
      <c r="D52" s="57"/>
      <c r="E52" s="2" t="s">
        <v>82</v>
      </c>
      <c r="F52" s="2"/>
      <c r="G52" s="2"/>
      <c r="H52" s="2"/>
      <c r="I52" s="2"/>
      <c r="J52" s="3"/>
    </row>
    <row r="53" spans="1:10" ht="8.2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3"/>
    </row>
    <row r="54" spans="1:10" ht="13.5" customHeight="1" x14ac:dyDescent="0.25">
      <c r="A54" s="55" t="s">
        <v>61</v>
      </c>
      <c r="B54" s="55"/>
      <c r="C54" s="55"/>
      <c r="D54" s="31">
        <f>B52/B8</f>
        <v>8.3500085844713432</v>
      </c>
      <c r="E54" s="2"/>
      <c r="F54" s="2"/>
      <c r="G54" s="2"/>
      <c r="H54" s="2"/>
      <c r="I54" s="2"/>
      <c r="J54" s="3"/>
    </row>
    <row r="55" spans="1:10" ht="13.5" customHeight="1" x14ac:dyDescent="0.25">
      <c r="A55" s="32"/>
      <c r="B55" s="32"/>
      <c r="C55" s="32"/>
      <c r="D55" s="31"/>
      <c r="E55" s="2"/>
      <c r="F55" s="2"/>
      <c r="G55" s="2"/>
      <c r="H55" s="2"/>
      <c r="I55" s="2"/>
      <c r="J55" s="3"/>
    </row>
    <row r="59" spans="1:10" x14ac:dyDescent="0.2">
      <c r="A59" s="53" t="s">
        <v>76</v>
      </c>
      <c r="B59" s="53"/>
    </row>
    <row r="60" spans="1:10" x14ac:dyDescent="0.2">
      <c r="A60" s="54" t="s">
        <v>77</v>
      </c>
      <c r="B60" s="54"/>
      <c r="C60" s="54"/>
    </row>
    <row r="61" spans="1:10" x14ac:dyDescent="0.2">
      <c r="A61" s="50" t="s">
        <v>78</v>
      </c>
      <c r="B61" s="50"/>
      <c r="C61" s="50"/>
    </row>
    <row r="62" spans="1:10" x14ac:dyDescent="0.2">
      <c r="A62" s="53" t="s">
        <v>79</v>
      </c>
      <c r="B62" s="53"/>
    </row>
  </sheetData>
  <mergeCells count="35">
    <mergeCell ref="G16:H16"/>
    <mergeCell ref="A1:D1"/>
    <mergeCell ref="A3:D3"/>
    <mergeCell ref="B6:D6"/>
    <mergeCell ref="G6:J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1:D21"/>
    <mergeCell ref="B22:D22"/>
    <mergeCell ref="B23:D23"/>
    <mergeCell ref="B24:D24"/>
    <mergeCell ref="B44:D44"/>
    <mergeCell ref="B45:D45"/>
    <mergeCell ref="B46:D46"/>
    <mergeCell ref="B47:D47"/>
    <mergeCell ref="A59:B59"/>
    <mergeCell ref="A60:C60"/>
    <mergeCell ref="A62:B62"/>
    <mergeCell ref="A54:C54"/>
    <mergeCell ref="B48:D48"/>
    <mergeCell ref="B49:D49"/>
    <mergeCell ref="B50:D50"/>
    <mergeCell ref="B51:D51"/>
    <mergeCell ref="B52:D52"/>
  </mergeCells>
  <pageMargins left="0.59027777777777801" right="0.59027777777777801" top="1.53541666666667" bottom="0.59027777777777801" header="0.51180555555555496" footer="0.51180555555555496"/>
  <pageSetup paperSize="9" scale="55" firstPageNumber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45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Resumo</vt:lpstr>
      <vt:lpstr>Linha1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Adalberto Nicaretta</dc:creator>
  <dc:description/>
  <cp:lastModifiedBy>Markus Vinícius Bonzanini</cp:lastModifiedBy>
  <cp:revision>14</cp:revision>
  <cp:lastPrinted>2025-08-28T19:34:47Z</cp:lastPrinted>
  <dcterms:created xsi:type="dcterms:W3CDTF">2014-01-06T13:42:56Z</dcterms:created>
  <dcterms:modified xsi:type="dcterms:W3CDTF">2026-05-05T19:08:51Z</dcterms:modified>
  <dc:language>pt</dc:language>
</cp:coreProperties>
</file>