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Dados DEPOR" sheetId="1" r:id="rId1"/>
    <sheet name="ORGÃO" sheetId="2" state="hidden" r:id="rId2"/>
    <sheet name="BD2(NÃO MEXER)" sheetId="3" state="hidden" r:id="rId3"/>
  </sheets>
  <definedNames>
    <definedName name="_xlnm._FilterDatabase" localSheetId="0" hidden="1">'Dados DEPOR'!$C$15:$K$15</definedName>
    <definedName name="REFS2023">'Dados DEPOR'!$P:$S</definedName>
    <definedName name="REFS2024">'Dados DEPOR'!$T:$W</definedName>
  </definedNames>
  <calcPr calcId="144525"/>
</workbook>
</file>

<file path=xl/calcChain.xml><?xml version="1.0" encoding="utf-8"?>
<calcChain xmlns="http://schemas.openxmlformats.org/spreadsheetml/2006/main">
  <c r="J36" i="1" l="1"/>
  <c r="J34" i="1" l="1"/>
  <c r="J35" i="1"/>
  <c r="J37" i="1" l="1"/>
  <c r="R919" i="1"/>
  <c r="S975" i="1"/>
  <c r="T533" i="1"/>
  <c r="R771" i="1"/>
  <c r="Q657" i="1"/>
  <c r="R976" i="1"/>
  <c r="R971" i="1"/>
  <c r="V622" i="1"/>
  <c r="R858" i="1"/>
  <c r="R932" i="1"/>
  <c r="T830" i="1"/>
  <c r="W654" i="1"/>
  <c r="Q969" i="1"/>
  <c r="R651" i="1"/>
  <c r="U700" i="1"/>
  <c r="W413" i="1"/>
  <c r="R1025" i="1"/>
  <c r="R655" i="1"/>
  <c r="P877" i="1"/>
  <c r="T787" i="1"/>
  <c r="Q994" i="1"/>
  <c r="U723" i="1"/>
  <c r="P832" i="1"/>
  <c r="S634" i="1"/>
  <c r="Q659" i="1"/>
  <c r="S982" i="1"/>
  <c r="R889" i="1"/>
  <c r="U332" i="1"/>
  <c r="R628" i="1"/>
  <c r="P986" i="1"/>
  <c r="T799" i="1"/>
  <c r="P809" i="1"/>
  <c r="U435" i="1"/>
  <c r="R929" i="1"/>
  <c r="S1054" i="1"/>
  <c r="R821" i="1"/>
  <c r="V637" i="1"/>
  <c r="R1044" i="1"/>
  <c r="U441" i="1"/>
  <c r="R718" i="1"/>
  <c r="P880" i="1"/>
  <c r="S819" i="1"/>
  <c r="Q937" i="1"/>
  <c r="Q961" i="1"/>
  <c r="P1041" i="1"/>
  <c r="T654" i="1"/>
  <c r="S741" i="1"/>
  <c r="T986" i="1"/>
  <c r="S763" i="1"/>
  <c r="P981" i="1"/>
  <c r="Q964" i="1"/>
  <c r="P819" i="1"/>
  <c r="Q750" i="1"/>
  <c r="P775" i="1"/>
  <c r="Q804" i="1"/>
  <c r="S451" i="1"/>
  <c r="P999" i="1"/>
  <c r="P1034" i="1"/>
  <c r="Q553" i="1"/>
  <c r="R988" i="1"/>
  <c r="Q910" i="1"/>
  <c r="V577" i="1"/>
  <c r="R879" i="1"/>
  <c r="T895" i="1"/>
  <c r="P763" i="1"/>
  <c r="Q966" i="1"/>
  <c r="T878" i="1"/>
  <c r="S980" i="1"/>
  <c r="P813" i="1"/>
  <c r="Q1044" i="1"/>
  <c r="T861" i="1"/>
  <c r="R1052" i="1"/>
  <c r="R942" i="1"/>
  <c r="R575" i="1"/>
  <c r="R982" i="1"/>
  <c r="T810" i="1"/>
  <c r="R475" i="1"/>
  <c r="P550" i="1"/>
  <c r="T602" i="1"/>
  <c r="P694" i="1"/>
  <c r="R312" i="1"/>
  <c r="T948" i="1"/>
  <c r="P926" i="1"/>
  <c r="R790" i="1"/>
  <c r="R281" i="1"/>
  <c r="Q997" i="1"/>
  <c r="S804" i="1"/>
  <c r="S515" i="1"/>
  <c r="U727" i="1"/>
  <c r="T982" i="1"/>
  <c r="T710" i="1"/>
  <c r="V388" i="1"/>
  <c r="R351" i="1"/>
  <c r="R445" i="1"/>
  <c r="T884" i="1"/>
  <c r="U138" i="1"/>
  <c r="Q845" i="1"/>
  <c r="Q858" i="1"/>
  <c r="T755" i="1"/>
  <c r="R831" i="1"/>
  <c r="S1034" i="1"/>
  <c r="T371" i="1"/>
  <c r="S830" i="1"/>
  <c r="S798" i="1"/>
  <c r="Q908" i="1"/>
  <c r="Q617" i="1"/>
  <c r="Q926" i="1"/>
  <c r="S842" i="1"/>
  <c r="R1010" i="1"/>
  <c r="S640" i="1"/>
  <c r="S602" i="1"/>
  <c r="R576" i="1"/>
  <c r="Q873" i="1"/>
  <c r="W726" i="1"/>
  <c r="P1039" i="1"/>
  <c r="R878" i="1"/>
  <c r="W709" i="1"/>
  <c r="T850" i="1"/>
  <c r="R251" i="1"/>
  <c r="U508" i="1"/>
  <c r="V561" i="1"/>
  <c r="W580" i="1"/>
  <c r="S681" i="1"/>
  <c r="Q1008" i="1"/>
  <c r="T561" i="1"/>
  <c r="T684" i="1"/>
  <c r="R166" i="1"/>
  <c r="R908" i="1"/>
  <c r="R614" i="1"/>
  <c r="S926" i="1"/>
  <c r="P674" i="1"/>
  <c r="W613" i="1"/>
  <c r="P1044" i="1"/>
  <c r="R863" i="1"/>
  <c r="P722" i="1"/>
  <c r="Q422" i="1"/>
  <c r="S658" i="1"/>
  <c r="T567" i="1"/>
  <c r="R833" i="1"/>
  <c r="Q794" i="1"/>
  <c r="S914" i="1"/>
  <c r="U161" i="1"/>
  <c r="U646" i="1"/>
  <c r="R928" i="1"/>
  <c r="P829" i="1"/>
  <c r="P1024" i="1"/>
  <c r="T881" i="1"/>
  <c r="T634" i="1"/>
  <c r="P774" i="1"/>
  <c r="W571" i="1"/>
  <c r="V681" i="1"/>
  <c r="R811" i="1"/>
  <c r="S264" i="1"/>
  <c r="U687" i="1"/>
  <c r="P850" i="1"/>
  <c r="R564" i="1"/>
  <c r="U543" i="1"/>
  <c r="T834" i="1"/>
  <c r="P1016" i="1"/>
  <c r="V686" i="1"/>
  <c r="W738" i="1"/>
  <c r="Q907" i="1"/>
  <c r="S1050" i="1"/>
  <c r="Q682" i="1"/>
  <c r="W544" i="1"/>
  <c r="Q560" i="1"/>
  <c r="S518" i="1"/>
  <c r="Q1046" i="1"/>
  <c r="T929" i="1"/>
  <c r="R744" i="1"/>
  <c r="W722" i="1"/>
  <c r="U522" i="1"/>
  <c r="Q919" i="1"/>
  <c r="U665" i="1"/>
  <c r="V459" i="1"/>
  <c r="R1038" i="1"/>
  <c r="P704" i="1"/>
  <c r="T928" i="1"/>
  <c r="S921" i="1"/>
  <c r="R907" i="1"/>
  <c r="R452" i="1"/>
  <c r="W587" i="1"/>
  <c r="T978" i="1"/>
  <c r="R792" i="1"/>
  <c r="P910" i="1"/>
  <c r="Q779" i="1"/>
  <c r="S785" i="1"/>
  <c r="P1005" i="1"/>
  <c r="Q514" i="1"/>
  <c r="W733" i="1"/>
  <c r="V532" i="1"/>
  <c r="V271" i="1"/>
  <c r="U722" i="1"/>
  <c r="S181" i="1"/>
  <c r="Q619" i="1"/>
  <c r="Q1003" i="1"/>
  <c r="P663" i="1"/>
  <c r="S1017" i="1"/>
  <c r="Q816" i="1"/>
  <c r="T997" i="1"/>
  <c r="S431" i="1"/>
  <c r="S961" i="1"/>
  <c r="V672" i="1"/>
  <c r="P864" i="1"/>
  <c r="R685" i="1"/>
  <c r="V706" i="1"/>
  <c r="V614" i="1"/>
  <c r="P1049" i="1"/>
  <c r="S686" i="1"/>
  <c r="T897" i="1"/>
  <c r="P656" i="1"/>
  <c r="R974" i="1"/>
  <c r="R1048" i="1"/>
  <c r="Q1002" i="1"/>
  <c r="R191" i="1"/>
  <c r="V496" i="1"/>
  <c r="W586" i="1"/>
  <c r="Q449" i="1"/>
  <c r="P629" i="1"/>
  <c r="P705" i="1"/>
  <c r="Q590" i="1"/>
  <c r="V619" i="1"/>
  <c r="R911" i="1"/>
  <c r="R870" i="1"/>
  <c r="S576" i="1"/>
  <c r="P340" i="1"/>
  <c r="S316" i="1"/>
  <c r="S994" i="1"/>
  <c r="V666" i="1"/>
  <c r="T665" i="1"/>
  <c r="S791" i="1"/>
  <c r="W651" i="1"/>
  <c r="V450" i="1"/>
  <c r="U697" i="1"/>
  <c r="P653" i="1"/>
  <c r="P325" i="1"/>
  <c r="Q846" i="1"/>
  <c r="W87" i="1"/>
  <c r="S958" i="1"/>
  <c r="R921" i="1"/>
  <c r="R916" i="1"/>
  <c r="S460" i="1"/>
  <c r="U726" i="1"/>
  <c r="S773" i="1"/>
  <c r="S876" i="1"/>
  <c r="S970" i="1"/>
  <c r="P186" i="1"/>
  <c r="P982" i="1"/>
  <c r="R539" i="1"/>
  <c r="P1002" i="1"/>
  <c r="V516" i="1"/>
  <c r="P428" i="1"/>
  <c r="S726" i="1"/>
  <c r="R556" i="1"/>
  <c r="P692" i="1"/>
  <c r="Q947" i="1"/>
  <c r="W417" i="1"/>
  <c r="P799" i="1"/>
  <c r="S1013" i="1"/>
  <c r="P835" i="1"/>
  <c r="T502" i="1"/>
  <c r="U682" i="1"/>
  <c r="V543" i="1"/>
  <c r="T905" i="1"/>
  <c r="R973" i="1"/>
  <c r="R906" i="1"/>
  <c r="P630" i="1"/>
  <c r="P973" i="1"/>
  <c r="S498" i="1"/>
  <c r="R683" i="1"/>
  <c r="S591" i="1"/>
  <c r="T638" i="1"/>
  <c r="P822" i="1"/>
  <c r="T973" i="1"/>
  <c r="U162" i="1"/>
  <c r="U586" i="1"/>
  <c r="S993" i="1"/>
  <c r="P921" i="1"/>
  <c r="W690" i="1"/>
  <c r="T812" i="1"/>
  <c r="Q785" i="1"/>
  <c r="Q627" i="1"/>
  <c r="Q400" i="1"/>
  <c r="P792" i="1"/>
  <c r="P758" i="1"/>
  <c r="Q754" i="1"/>
  <c r="W579" i="1"/>
  <c r="P977" i="1"/>
  <c r="Q877" i="1"/>
  <c r="P828" i="1"/>
  <c r="R1054" i="1"/>
  <c r="P785" i="1"/>
  <c r="S664" i="1"/>
  <c r="Q1019" i="1"/>
  <c r="T946" i="1"/>
  <c r="P805" i="1"/>
  <c r="Q752" i="1"/>
  <c r="Q852" i="1"/>
  <c r="Q974" i="1"/>
  <c r="Q1035" i="1"/>
  <c r="R1016" i="1"/>
  <c r="Q914" i="1"/>
  <c r="Q855" i="1"/>
  <c r="P915" i="1"/>
  <c r="W727" i="1"/>
  <c r="R888" i="1"/>
  <c r="R802" i="1"/>
  <c r="P939" i="1"/>
  <c r="S147" i="1"/>
  <c r="T783" i="1"/>
  <c r="R510" i="1"/>
  <c r="R313" i="1"/>
  <c r="R1004" i="1"/>
  <c r="T890" i="1"/>
  <c r="V588" i="1"/>
  <c r="T867" i="1"/>
  <c r="V340" i="1"/>
  <c r="S690" i="1"/>
  <c r="Q762" i="1"/>
  <c r="P1054" i="1"/>
  <c r="V466" i="1"/>
  <c r="P970" i="1"/>
  <c r="S1048" i="1"/>
  <c r="S981" i="1"/>
  <c r="S948" i="1"/>
  <c r="T94" i="1"/>
  <c r="R935" i="1"/>
  <c r="P712" i="1"/>
  <c r="P969" i="1"/>
  <c r="S727" i="1"/>
  <c r="W685" i="1"/>
  <c r="Q783" i="1"/>
  <c r="S57" i="1"/>
  <c r="R471" i="1"/>
  <c r="T723" i="1"/>
  <c r="Q796" i="1"/>
  <c r="P903" i="1"/>
  <c r="P1031" i="1"/>
  <c r="T121" i="1"/>
  <c r="S744" i="1"/>
  <c r="Q778" i="1"/>
  <c r="Q460" i="1"/>
  <c r="Q896" i="1"/>
  <c r="R710" i="1"/>
  <c r="R764" i="1"/>
  <c r="S474" i="1"/>
  <c r="S1001" i="1"/>
  <c r="T971" i="1"/>
  <c r="S739" i="1"/>
  <c r="V738" i="1"/>
  <c r="Q445" i="1"/>
  <c r="S919" i="1"/>
  <c r="P351" i="1"/>
  <c r="T848" i="1"/>
  <c r="T987" i="1"/>
  <c r="T1004" i="1"/>
  <c r="Q1000" i="1"/>
  <c r="R813" i="1"/>
  <c r="S734" i="1"/>
  <c r="T703" i="1"/>
  <c r="R738" i="1"/>
  <c r="Q557" i="1"/>
  <c r="S952" i="1"/>
  <c r="P980" i="1"/>
  <c r="Q570" i="1"/>
  <c r="S879" i="1"/>
  <c r="R1020" i="1"/>
  <c r="T141" i="1"/>
  <c r="U720" i="1"/>
  <c r="S996" i="1"/>
  <c r="Q685" i="1"/>
  <c r="P501" i="1"/>
  <c r="W710" i="1"/>
  <c r="T287" i="1"/>
  <c r="U650" i="1"/>
  <c r="P943" i="1"/>
  <c r="T891" i="1"/>
  <c r="P689" i="1"/>
  <c r="V705" i="1"/>
  <c r="S529" i="1"/>
  <c r="S736" i="1"/>
  <c r="S432" i="1"/>
  <c r="V542" i="1"/>
  <c r="T493" i="1"/>
  <c r="P486" i="1"/>
  <c r="P898" i="1"/>
  <c r="T811" i="1"/>
  <c r="U281" i="1"/>
  <c r="S612" i="1"/>
  <c r="R423" i="1"/>
  <c r="S452" i="1"/>
  <c r="S893" i="1"/>
  <c r="R336" i="1"/>
  <c r="Q780" i="1"/>
  <c r="V659" i="1"/>
  <c r="U298" i="1"/>
  <c r="S1015" i="1"/>
  <c r="S808" i="1"/>
  <c r="U228" i="1"/>
  <c r="V733" i="1"/>
  <c r="S141" i="1"/>
  <c r="S865" i="1"/>
  <c r="P790" i="1"/>
  <c r="R815" i="1"/>
  <c r="S752" i="1"/>
  <c r="U669" i="1"/>
  <c r="W642" i="1"/>
  <c r="P346" i="1"/>
  <c r="S495" i="1"/>
  <c r="P713" i="1"/>
  <c r="W734" i="1"/>
  <c r="P1023" i="1"/>
  <c r="T605" i="1"/>
  <c r="W683" i="1"/>
  <c r="S601" i="1"/>
  <c r="P930" i="1"/>
  <c r="Q790" i="1"/>
  <c r="W602" i="1"/>
  <c r="P417" i="1"/>
  <c r="S589" i="1"/>
  <c r="Q1020" i="1"/>
  <c r="T756" i="1"/>
  <c r="R853" i="1"/>
  <c r="Q731" i="1"/>
  <c r="T1010" i="1"/>
  <c r="T698" i="1"/>
  <c r="R996" i="1"/>
  <c r="S962" i="1"/>
  <c r="T426" i="1"/>
  <c r="T824" i="1"/>
  <c r="R649" i="1"/>
  <c r="T925" i="1"/>
  <c r="S750" i="1"/>
  <c r="P415" i="1"/>
  <c r="P959" i="1"/>
  <c r="W603" i="1"/>
  <c r="U718" i="1"/>
  <c r="S513" i="1"/>
  <c r="S1005" i="1"/>
  <c r="S949" i="1"/>
  <c r="U498" i="1"/>
  <c r="U738" i="1"/>
  <c r="W633" i="1"/>
  <c r="Q934" i="1"/>
  <c r="R632" i="1"/>
  <c r="Q672" i="1"/>
  <c r="S882" i="1"/>
  <c r="Q562" i="1"/>
  <c r="P798" i="1"/>
  <c r="T1017" i="1"/>
  <c r="S956" i="1"/>
  <c r="U429" i="1"/>
  <c r="P756" i="1"/>
  <c r="Q844" i="1"/>
  <c r="R914" i="1"/>
  <c r="W399" i="1"/>
  <c r="T926" i="1"/>
  <c r="P468" i="1"/>
  <c r="R886" i="1"/>
  <c r="R943" i="1"/>
  <c r="W382" i="1"/>
  <c r="V710" i="1"/>
  <c r="V472" i="1"/>
  <c r="T389" i="1"/>
  <c r="S867" i="1"/>
  <c r="R784" i="1"/>
  <c r="T564" i="1"/>
  <c r="Q35" i="1"/>
  <c r="S563" i="1"/>
  <c r="Q962" i="1"/>
  <c r="T892" i="1"/>
  <c r="T481" i="1"/>
  <c r="R918" i="1"/>
  <c r="Q952" i="1"/>
  <c r="R633" i="1"/>
  <c r="R761" i="1"/>
  <c r="S666" i="1"/>
  <c r="Q916" i="1"/>
  <c r="V642" i="1"/>
  <c r="U552" i="1"/>
  <c r="T388" i="1"/>
  <c r="Q928" i="1"/>
  <c r="P508" i="1"/>
  <c r="P528" i="1"/>
  <c r="T843" i="1"/>
  <c r="S968" i="1"/>
  <c r="T903" i="1"/>
  <c r="S946" i="1"/>
  <c r="R1019" i="1"/>
  <c r="T339" i="1"/>
  <c r="W214" i="1"/>
  <c r="S1043" i="1"/>
  <c r="S797" i="1"/>
  <c r="P847" i="1"/>
  <c r="R561" i="1"/>
  <c r="T976" i="1"/>
  <c r="R900" i="1"/>
  <c r="V553" i="1"/>
  <c r="S628" i="1"/>
  <c r="V567" i="1"/>
  <c r="W648" i="1"/>
  <c r="Q943" i="1"/>
  <c r="Q948" i="1"/>
  <c r="T776" i="1"/>
  <c r="W666" i="1"/>
  <c r="P729" i="1"/>
  <c r="P771" i="1"/>
  <c r="T501" i="1"/>
  <c r="P632" i="1"/>
  <c r="P1000" i="1"/>
  <c r="T880" i="1"/>
  <c r="T924" i="1"/>
  <c r="T457" i="1"/>
  <c r="Q823" i="1"/>
  <c r="P946" i="1"/>
  <c r="P740" i="1"/>
  <c r="T554" i="1"/>
  <c r="P783" i="1"/>
  <c r="T463" i="1"/>
  <c r="W641" i="1"/>
  <c r="R980" i="1"/>
  <c r="S645" i="1"/>
  <c r="Q861" i="1"/>
  <c r="U589" i="1"/>
  <c r="R936" i="1"/>
  <c r="Q918" i="1"/>
  <c r="U511" i="1"/>
  <c r="R484" i="1"/>
  <c r="Q745" i="1"/>
  <c r="R1000" i="1"/>
  <c r="W591" i="1"/>
  <c r="S895" i="1"/>
  <c r="T865" i="1"/>
  <c r="Q957" i="1"/>
  <c r="P849" i="1"/>
  <c r="S731" i="1"/>
  <c r="T959" i="1"/>
  <c r="U302" i="1"/>
  <c r="R822" i="1"/>
  <c r="S535" i="1"/>
  <c r="T224" i="1"/>
  <c r="T521" i="1"/>
  <c r="Q1017" i="1"/>
  <c r="W706" i="1"/>
  <c r="T813" i="1"/>
  <c r="P957" i="1"/>
  <c r="R694" i="1"/>
  <c r="S778" i="1"/>
  <c r="P650" i="1"/>
  <c r="S844" i="1"/>
  <c r="Q944" i="1"/>
  <c r="W508" i="1"/>
  <c r="W634" i="1"/>
  <c r="U593" i="1"/>
  <c r="Q770" i="1"/>
  <c r="S1040" i="1"/>
  <c r="S683" i="1"/>
  <c r="P1022" i="1"/>
  <c r="V301" i="1"/>
  <c r="P810" i="1"/>
  <c r="S911" i="1"/>
  <c r="R700" i="1"/>
  <c r="Q901" i="1"/>
  <c r="W644" i="1"/>
  <c r="R713" i="1"/>
  <c r="T326" i="1"/>
  <c r="R1050" i="1"/>
  <c r="S532" i="1"/>
  <c r="V661" i="1"/>
  <c r="T814" i="1"/>
  <c r="R938" i="1"/>
  <c r="T230" i="1"/>
  <c r="P932" i="1"/>
  <c r="U659" i="1"/>
  <c r="S944" i="1"/>
  <c r="Q888" i="1"/>
  <c r="S918" i="1"/>
  <c r="S360" i="1"/>
  <c r="R604" i="1"/>
  <c r="R1040" i="1"/>
  <c r="V689" i="1"/>
  <c r="R1051" i="1"/>
  <c r="P381" i="1"/>
  <c r="R861" i="1"/>
  <c r="S866" i="1"/>
  <c r="T809" i="1"/>
  <c r="T691" i="1"/>
  <c r="W491" i="1"/>
  <c r="V638" i="1"/>
  <c r="Q688" i="1"/>
  <c r="T967" i="1"/>
  <c r="R675" i="1"/>
  <c r="P820" i="1"/>
  <c r="U426" i="1"/>
  <c r="W287" i="1"/>
  <c r="T1014" i="1"/>
  <c r="U582" i="1"/>
  <c r="U716" i="1"/>
  <c r="P1019" i="1"/>
  <c r="P887" i="1"/>
  <c r="P462" i="1"/>
  <c r="P1040" i="1"/>
  <c r="T833" i="1"/>
  <c r="V730" i="1"/>
  <c r="U673" i="1"/>
  <c r="P845" i="1"/>
  <c r="P830" i="1"/>
  <c r="Q977" i="1"/>
  <c r="V596" i="1"/>
  <c r="Q791" i="1"/>
  <c r="S771" i="1"/>
  <c r="R933" i="1"/>
  <c r="V292" i="1"/>
  <c r="Q1027" i="1"/>
  <c r="T816" i="1"/>
  <c r="Q404" i="1"/>
  <c r="S499" i="1"/>
  <c r="T558" i="1"/>
  <c r="V640" i="1"/>
  <c r="W517" i="1"/>
  <c r="Q958" i="1"/>
  <c r="Q704" i="1"/>
  <c r="T507" i="1"/>
  <c r="R869" i="1"/>
  <c r="V724" i="1"/>
  <c r="R891" i="1"/>
  <c r="T819" i="1"/>
  <c r="R737" i="1"/>
  <c r="R775" i="1"/>
  <c r="Q867" i="1"/>
  <c r="Q1053" i="1"/>
  <c r="S813" i="1"/>
  <c r="S706" i="1"/>
  <c r="P897" i="1"/>
  <c r="T399" i="1"/>
  <c r="P1027" i="1"/>
  <c r="T588" i="1"/>
  <c r="R1042" i="1"/>
  <c r="S423" i="1"/>
  <c r="W494" i="1"/>
  <c r="T962" i="1"/>
  <c r="S709" i="1"/>
  <c r="R852" i="1"/>
  <c r="Q542" i="1"/>
  <c r="W716" i="1"/>
  <c r="U686" i="1"/>
  <c r="P866" i="1"/>
  <c r="P988" i="1"/>
  <c r="R703" i="1"/>
  <c r="R854" i="1"/>
  <c r="Q988" i="1"/>
  <c r="S901" i="1"/>
  <c r="Q1051" i="1"/>
  <c r="Q531" i="1"/>
  <c r="R1037" i="1"/>
  <c r="V644" i="1"/>
  <c r="U580" i="1"/>
  <c r="U558" i="1"/>
  <c r="S966" i="1"/>
  <c r="R855" i="1"/>
  <c r="S767" i="1"/>
  <c r="S989" i="1"/>
  <c r="P545" i="1"/>
  <c r="T988" i="1"/>
  <c r="Q487" i="1"/>
  <c r="U662" i="1"/>
  <c r="P961" i="1"/>
  <c r="T651" i="1"/>
  <c r="W455" i="1"/>
  <c r="T678" i="1"/>
  <c r="R367" i="1"/>
  <c r="T964" i="1"/>
  <c r="W689" i="1"/>
  <c r="T825" i="1"/>
  <c r="Q814" i="1"/>
  <c r="Q840" i="1"/>
  <c r="T999" i="1"/>
  <c r="S603" i="1"/>
  <c r="R894" i="1"/>
  <c r="R946" i="1"/>
  <c r="W628" i="1"/>
  <c r="Q680" i="1"/>
  <c r="U308" i="1"/>
  <c r="S713" i="1"/>
  <c r="S667" i="1"/>
  <c r="Q990" i="1"/>
  <c r="P128" i="1"/>
  <c r="U58" i="1"/>
  <c r="P603" i="1"/>
  <c r="W464" i="1"/>
  <c r="S768" i="1"/>
  <c r="R950" i="1"/>
  <c r="Q902" i="1"/>
  <c r="R357" i="1"/>
  <c r="P913" i="1"/>
  <c r="Q485" i="1"/>
  <c r="S941" i="1"/>
  <c r="T779" i="1"/>
  <c r="R695" i="1"/>
  <c r="U565" i="1"/>
  <c r="R548" i="1"/>
  <c r="R987" i="1"/>
  <c r="R923" i="1"/>
  <c r="R955" i="1"/>
  <c r="T673" i="1"/>
  <c r="S684" i="1"/>
  <c r="P1033" i="1"/>
  <c r="Q927" i="1"/>
  <c r="T797" i="1"/>
  <c r="Q991" i="1"/>
  <c r="P403" i="1"/>
  <c r="P834" i="1"/>
  <c r="S1024" i="1"/>
  <c r="Q584" i="1"/>
  <c r="S403" i="1"/>
  <c r="S641" i="1"/>
  <c r="R773" i="1"/>
  <c r="P975" i="1"/>
  <c r="W553" i="1"/>
  <c r="Q555" i="1"/>
  <c r="R962" i="1"/>
  <c r="T468" i="1"/>
  <c r="V678" i="1"/>
  <c r="T838" i="1"/>
  <c r="V512" i="1"/>
  <c r="S883" i="1"/>
  <c r="V325" i="1"/>
  <c r="S788" i="1"/>
  <c r="V465" i="1"/>
  <c r="S1002" i="1"/>
  <c r="V534" i="1"/>
  <c r="Q915" i="1"/>
  <c r="Q843" i="1"/>
  <c r="W646" i="1"/>
  <c r="P1030" i="1"/>
  <c r="W653" i="1"/>
  <c r="V728" i="1"/>
  <c r="P477" i="1"/>
  <c r="W502" i="1"/>
  <c r="P533" i="1"/>
  <c r="P687" i="1"/>
  <c r="T947" i="1"/>
  <c r="V582" i="1"/>
  <c r="P985" i="1"/>
  <c r="P396" i="1"/>
  <c r="S897" i="1"/>
  <c r="R617" i="1"/>
  <c r="Q224" i="1"/>
  <c r="V454" i="1"/>
  <c r="P895" i="1"/>
  <c r="S201" i="1"/>
  <c r="W258" i="1"/>
  <c r="T429" i="1"/>
  <c r="R951" i="1"/>
  <c r="W509" i="1"/>
  <c r="W521" i="1"/>
  <c r="R873" i="1"/>
  <c r="V250" i="1"/>
  <c r="T849" i="1"/>
  <c r="W444" i="1"/>
  <c r="S716" i="1"/>
  <c r="V656" i="1"/>
  <c r="U55" i="1"/>
  <c r="R961" i="1"/>
  <c r="Q777" i="1"/>
  <c r="W576" i="1"/>
  <c r="S934" i="1"/>
  <c r="Q838" i="1"/>
  <c r="S969" i="1"/>
  <c r="S846" i="1"/>
  <c r="U438" i="1"/>
  <c r="P900" i="1"/>
  <c r="W375" i="1"/>
  <c r="V513" i="1"/>
  <c r="V483" i="1"/>
  <c r="V522" i="1"/>
  <c r="T212" i="1"/>
  <c r="R559" i="1"/>
  <c r="S624" i="1"/>
  <c r="P697" i="1"/>
  <c r="Q890" i="1"/>
  <c r="S915" i="1"/>
  <c r="Q895" i="1"/>
  <c r="V108" i="1"/>
  <c r="S493" i="1"/>
  <c r="R898" i="1"/>
  <c r="P972" i="1"/>
  <c r="P1038" i="1"/>
  <c r="V324" i="1"/>
  <c r="P743" i="1"/>
  <c r="P776" i="1"/>
  <c r="T769" i="1"/>
  <c r="Q986" i="1"/>
  <c r="R341" i="1"/>
  <c r="P624" i="1"/>
  <c r="Q671" i="1"/>
  <c r="R709" i="1"/>
  <c r="T735" i="1"/>
  <c r="R726" i="1"/>
  <c r="P307" i="1"/>
  <c r="R601" i="1"/>
  <c r="V267" i="1"/>
  <c r="S845" i="1"/>
  <c r="P1014" i="1"/>
  <c r="U313" i="1"/>
  <c r="Q606" i="1"/>
  <c r="P1037" i="1"/>
  <c r="R730" i="1"/>
  <c r="Q764" i="1"/>
  <c r="P989" i="1"/>
  <c r="P858" i="1"/>
  <c r="P573" i="1"/>
  <c r="P746" i="1"/>
  <c r="T610" i="1"/>
  <c r="R845" i="1"/>
  <c r="P405" i="1"/>
  <c r="U607" i="1"/>
  <c r="P198" i="1"/>
  <c r="P974" i="1"/>
  <c r="T827" i="1"/>
  <c r="Q537" i="1"/>
  <c r="S881" i="1"/>
  <c r="P62" i="1"/>
  <c r="Q649" i="1"/>
  <c r="Q899" i="1"/>
  <c r="U655" i="1"/>
  <c r="T916" i="1"/>
  <c r="T913" i="1"/>
  <c r="P642" i="1"/>
  <c r="U236" i="1"/>
  <c r="Q732" i="1"/>
  <c r="V533" i="1"/>
  <c r="R997" i="1"/>
  <c r="W512" i="1"/>
  <c r="T712" i="1"/>
  <c r="T1013" i="1"/>
  <c r="R609" i="1"/>
  <c r="T859" i="1"/>
  <c r="T721" i="1"/>
  <c r="S224" i="1"/>
  <c r="P364" i="1"/>
  <c r="T935" i="1"/>
  <c r="V618" i="1"/>
  <c r="R571" i="1"/>
  <c r="P844" i="1"/>
  <c r="Q792" i="1"/>
  <c r="T197" i="1"/>
  <c r="S904" i="1"/>
  <c r="T39" i="1"/>
  <c r="T893" i="1"/>
  <c r="P658" i="1"/>
  <c r="P331" i="1"/>
  <c r="T729" i="1"/>
  <c r="W511" i="1"/>
  <c r="P728" i="1"/>
  <c r="Q965" i="1"/>
  <c r="W725" i="1"/>
  <c r="Q267" i="1"/>
  <c r="T467" i="1"/>
  <c r="U689" i="1"/>
  <c r="Q666" i="1"/>
  <c r="P301" i="1"/>
  <c r="Q48" i="1"/>
  <c r="S389" i="1"/>
  <c r="P745" i="1"/>
  <c r="U707" i="1"/>
  <c r="V460" i="1"/>
  <c r="U567" i="1"/>
  <c r="W696" i="1"/>
  <c r="R1028" i="1"/>
  <c r="S820" i="1"/>
  <c r="P884" i="1"/>
  <c r="S1042" i="1"/>
  <c r="S351" i="1"/>
  <c r="U625" i="1"/>
  <c r="U147" i="1"/>
  <c r="R860" i="1"/>
  <c r="T930" i="1"/>
  <c r="U563" i="1"/>
  <c r="Q801" i="1"/>
  <c r="V5" i="1"/>
  <c r="R554" i="1"/>
  <c r="Q13" i="1"/>
  <c r="R1031" i="1"/>
  <c r="U653" i="1"/>
  <c r="S454" i="1"/>
  <c r="R963" i="1"/>
  <c r="R566" i="1"/>
  <c r="U714" i="1"/>
  <c r="V655" i="1"/>
  <c r="R795" i="1"/>
  <c r="T532" i="1"/>
  <c r="R779" i="1"/>
  <c r="T404" i="1"/>
  <c r="Q1028" i="1"/>
  <c r="W331" i="1"/>
  <c r="Q433" i="1"/>
  <c r="U728" i="1"/>
  <c r="R742" i="1"/>
  <c r="S894" i="1"/>
  <c r="U705" i="1"/>
  <c r="Q548" i="1"/>
  <c r="R612" i="1"/>
  <c r="T923" i="1"/>
  <c r="P598" i="1"/>
  <c r="Q706" i="1"/>
  <c r="R902" i="1"/>
  <c r="P731" i="1"/>
  <c r="S514" i="1"/>
  <c r="S627" i="1"/>
  <c r="S747" i="1"/>
  <c r="V506" i="1"/>
  <c r="W567" i="1"/>
  <c r="R781" i="1"/>
  <c r="T310" i="1"/>
  <c r="V680" i="1"/>
  <c r="T427" i="1"/>
  <c r="S660" i="1"/>
  <c r="S497" i="1"/>
  <c r="R835" i="1"/>
  <c r="P649" i="1"/>
  <c r="T706" i="1"/>
  <c r="R770" i="1"/>
  <c r="R615" i="1"/>
  <c r="P711" i="1"/>
  <c r="U656" i="1"/>
  <c r="T1012" i="1"/>
  <c r="R727" i="1"/>
  <c r="S838" i="1"/>
  <c r="R105" i="1"/>
  <c r="S652" i="1"/>
  <c r="R767" i="1"/>
  <c r="W274" i="1"/>
  <c r="P592" i="1"/>
  <c r="U660" i="1"/>
  <c r="S338" i="1"/>
  <c r="R590" i="1"/>
  <c r="S758" i="1"/>
  <c r="T377" i="1"/>
  <c r="R939" i="1"/>
  <c r="R937" i="1"/>
  <c r="P1035" i="1"/>
  <c r="Q817" i="1"/>
  <c r="P492" i="1"/>
  <c r="S677" i="1"/>
  <c r="V208" i="1"/>
  <c r="S542" i="1"/>
  <c r="T805" i="1"/>
  <c r="S1051" i="1"/>
  <c r="T9" i="1"/>
  <c r="V446" i="1"/>
  <c r="T360" i="1"/>
  <c r="S626" i="1"/>
  <c r="S1044" i="1"/>
  <c r="P920" i="1"/>
  <c r="S619" i="1"/>
  <c r="S976" i="1"/>
  <c r="T970" i="1"/>
  <c r="R725" i="1"/>
  <c r="Q472" i="1"/>
  <c r="Q1014" i="1"/>
  <c r="R94" i="1"/>
  <c r="V739" i="1"/>
  <c r="P333" i="1"/>
  <c r="Q133" i="1"/>
  <c r="T394" i="1"/>
  <c r="R448" i="1"/>
  <c r="V329" i="1"/>
  <c r="R684" i="1"/>
  <c r="T572" i="1"/>
  <c r="Q353" i="1"/>
  <c r="T666" i="1"/>
  <c r="T815" i="1"/>
  <c r="T536" i="1"/>
  <c r="P329" i="1"/>
  <c r="Q1004" i="1"/>
  <c r="P978" i="1"/>
  <c r="T972" i="1"/>
  <c r="T1008" i="1"/>
  <c r="T922" i="1"/>
  <c r="W467" i="1"/>
  <c r="U579" i="1"/>
  <c r="T290" i="1"/>
  <c r="R715" i="1"/>
  <c r="S412" i="1"/>
  <c r="Q999" i="1"/>
  <c r="S519" i="1"/>
  <c r="P996" i="1"/>
  <c r="Q247" i="1"/>
  <c r="R104" i="1"/>
  <c r="U89" i="1"/>
  <c r="W298" i="1"/>
  <c r="T882" i="1"/>
  <c r="P765" i="1"/>
  <c r="W109" i="1"/>
  <c r="V649" i="1"/>
  <c r="T668" i="1"/>
  <c r="S1021" i="1"/>
  <c r="U534" i="1"/>
  <c r="U417" i="1"/>
  <c r="W302" i="1"/>
  <c r="Q564" i="1"/>
  <c r="Q41" i="1"/>
  <c r="V391" i="1"/>
  <c r="T395" i="1"/>
  <c r="T771" i="1"/>
  <c r="S799" i="1"/>
  <c r="Q366" i="1"/>
  <c r="T397" i="1"/>
  <c r="P693" i="1"/>
  <c r="R783" i="1"/>
  <c r="W347" i="1"/>
  <c r="U296" i="1"/>
  <c r="S659" i="1"/>
  <c r="P651" i="1"/>
  <c r="S143" i="1"/>
  <c r="R467" i="1"/>
  <c r="W572" i="1"/>
  <c r="R798" i="1"/>
  <c r="R368" i="1"/>
  <c r="Q175" i="1"/>
  <c r="S545" i="1"/>
  <c r="P497" i="1"/>
  <c r="W388" i="1"/>
  <c r="U273" i="1"/>
  <c r="R10" i="1"/>
  <c r="V576" i="1"/>
  <c r="Q891" i="1"/>
  <c r="W288" i="1"/>
  <c r="S266" i="1"/>
  <c r="Q397" i="1"/>
  <c r="P467" i="1"/>
  <c r="T798" i="1"/>
  <c r="R731" i="1"/>
  <c r="V693" i="1"/>
  <c r="P472" i="1"/>
  <c r="U510" i="1"/>
  <c r="T594" i="1"/>
  <c r="Q712" i="1"/>
  <c r="T728" i="1"/>
  <c r="T193" i="1"/>
  <c r="T120" i="1"/>
  <c r="U116" i="1"/>
  <c r="Q733" i="1"/>
  <c r="V294" i="1"/>
  <c r="S538" i="1"/>
  <c r="P891" i="1"/>
  <c r="S1049" i="1"/>
  <c r="S979" i="1"/>
  <c r="Q753" i="1"/>
  <c r="T956" i="1"/>
  <c r="T855" i="1"/>
  <c r="Q848" i="1"/>
  <c r="T690" i="1"/>
  <c r="T416" i="1"/>
  <c r="V337" i="1"/>
  <c r="P572" i="1"/>
  <c r="Q283" i="1"/>
  <c r="T656" i="1"/>
  <c r="P549" i="1"/>
  <c r="U719" i="1"/>
  <c r="W731" i="1"/>
  <c r="T317" i="1"/>
  <c r="T547" i="1"/>
  <c r="U577" i="1"/>
  <c r="Q214" i="1"/>
  <c r="T911" i="1"/>
  <c r="T822" i="1"/>
  <c r="Q582" i="1"/>
  <c r="T455" i="1"/>
  <c r="V380" i="1"/>
  <c r="S923" i="1"/>
  <c r="U446" i="1"/>
  <c r="T931" i="1"/>
  <c r="S880" i="1"/>
  <c r="W662" i="1"/>
  <c r="R1043" i="1"/>
  <c r="S955" i="1"/>
  <c r="T719" i="1"/>
  <c r="S598" i="1"/>
  <c r="V719" i="1"/>
  <c r="W530" i="1"/>
  <c r="P61" i="1"/>
  <c r="P696" i="1"/>
  <c r="R1012" i="1"/>
  <c r="U729" i="1"/>
  <c r="S977" i="1"/>
  <c r="R1045" i="1"/>
  <c r="T949" i="1"/>
  <c r="Q602" i="1"/>
  <c r="U123" i="1"/>
  <c r="W342" i="1"/>
  <c r="Q863" i="1"/>
  <c r="P1010" i="1"/>
  <c r="V570" i="1"/>
  <c r="R887" i="1"/>
  <c r="R739" i="1"/>
  <c r="R896" i="1"/>
  <c r="S392" i="1"/>
  <c r="W197" i="1"/>
  <c r="P890" i="1"/>
  <c r="R663" i="1"/>
  <c r="U637" i="1"/>
  <c r="T471" i="1"/>
  <c r="P990" i="1"/>
  <c r="W697" i="1"/>
  <c r="V601" i="1"/>
  <c r="P371" i="1"/>
  <c r="P886" i="1"/>
  <c r="R545" i="1"/>
  <c r="Q757" i="1"/>
  <c r="T958" i="1"/>
  <c r="U545" i="1"/>
  <c r="R570" i="1"/>
  <c r="Q467" i="1"/>
  <c r="P503" i="1"/>
  <c r="T659" i="1"/>
  <c r="U44" i="1"/>
  <c r="U415" i="1"/>
  <c r="Q647" i="1"/>
  <c r="S106" i="1"/>
  <c r="V216" i="1"/>
  <c r="S485" i="1"/>
  <c r="U358" i="1"/>
  <c r="U634" i="1"/>
  <c r="T653" i="1"/>
  <c r="U184" i="1"/>
  <c r="U724" i="1"/>
  <c r="Q321" i="1"/>
  <c r="S472" i="1"/>
  <c r="Q585" i="1"/>
  <c r="R1029" i="1"/>
  <c r="T704" i="1"/>
  <c r="P767" i="1"/>
  <c r="P922" i="1"/>
  <c r="Q44" i="1"/>
  <c r="P641" i="1"/>
  <c r="T921" i="1"/>
  <c r="W614" i="1"/>
  <c r="P871" i="1"/>
  <c r="S419" i="1"/>
  <c r="R679" i="1"/>
  <c r="S756" i="1"/>
  <c r="V170" i="1"/>
  <c r="P460" i="1"/>
  <c r="V595" i="1"/>
  <c r="Q857" i="1"/>
  <c r="R777" i="1"/>
  <c r="T695" i="1"/>
  <c r="S843" i="1"/>
  <c r="R100" i="1"/>
  <c r="R662" i="1"/>
  <c r="Q950" i="1"/>
  <c r="W600" i="1"/>
  <c r="U629" i="1"/>
  <c r="U549" i="1"/>
  <c r="T407" i="1"/>
  <c r="P1036" i="1"/>
  <c r="S1007" i="1"/>
  <c r="P905" i="1"/>
  <c r="R948" i="1"/>
  <c r="P800" i="1"/>
  <c r="T941" i="1"/>
  <c r="W196" i="1"/>
  <c r="W737" i="1"/>
  <c r="R511" i="1"/>
  <c r="S825" i="1"/>
  <c r="R978" i="1"/>
  <c r="W513" i="1"/>
  <c r="R631" i="1"/>
  <c r="Q454" i="1"/>
  <c r="W629" i="1"/>
  <c r="T475" i="1"/>
  <c r="R805" i="1"/>
  <c r="Q939" i="1"/>
  <c r="T732" i="1"/>
  <c r="Q709" i="1"/>
  <c r="T1016" i="1"/>
  <c r="Q942" i="1"/>
  <c r="U464" i="1"/>
  <c r="T208" i="1"/>
  <c r="V455" i="1"/>
  <c r="P1043" i="1"/>
  <c r="W280" i="1"/>
  <c r="R696" i="1"/>
  <c r="R1034" i="1"/>
  <c r="S418" i="1"/>
  <c r="T942" i="1"/>
  <c r="T512" i="1"/>
  <c r="V342" i="1"/>
  <c r="R42" i="1"/>
  <c r="P516" i="1"/>
  <c r="Q894" i="1"/>
  <c r="T1002" i="1"/>
  <c r="Q929" i="1"/>
  <c r="P1007" i="1"/>
  <c r="W395" i="1"/>
  <c r="P175" i="1"/>
  <c r="Q586" i="1"/>
  <c r="R748" i="1"/>
  <c r="T630" i="1"/>
  <c r="Q1036" i="1"/>
  <c r="T786" i="1"/>
  <c r="R924" i="1"/>
  <c r="P643" i="1"/>
  <c r="W418" i="1"/>
  <c r="S912" i="1"/>
  <c r="S445" i="1"/>
  <c r="W564" i="1"/>
  <c r="Q909" i="1"/>
  <c r="S689" i="1"/>
  <c r="P665" i="1"/>
  <c r="T774" i="1"/>
  <c r="T940" i="1"/>
  <c r="R56" i="1"/>
  <c r="P345" i="1"/>
  <c r="Q665" i="1"/>
  <c r="S615" i="1"/>
  <c r="T981" i="1"/>
  <c r="P993" i="1"/>
  <c r="V347" i="1"/>
  <c r="T1001" i="1"/>
  <c r="T125" i="1"/>
  <c r="W718" i="1"/>
  <c r="S332" i="1"/>
  <c r="R816" i="1"/>
  <c r="P225" i="1"/>
  <c r="T746" i="1"/>
  <c r="U266" i="1"/>
  <c r="S986" i="1"/>
  <c r="Q821" i="1"/>
  <c r="Q622" i="1"/>
  <c r="P962" i="1"/>
  <c r="V541" i="1"/>
  <c r="V332" i="1"/>
  <c r="W739" i="1"/>
  <c r="P688" i="1"/>
  <c r="R641" i="1"/>
  <c r="S177" i="1"/>
  <c r="S954" i="1"/>
  <c r="R839" i="1"/>
  <c r="Q976" i="1"/>
  <c r="Q747" i="1"/>
  <c r="U668" i="1"/>
  <c r="P878" i="1"/>
  <c r="Q610" i="1"/>
  <c r="W184" i="1"/>
  <c r="P902" i="1"/>
  <c r="W728" i="1"/>
  <c r="P928" i="1"/>
  <c r="Q724" i="1"/>
  <c r="P781" i="1"/>
  <c r="R752" i="1"/>
  <c r="S978" i="1"/>
  <c r="R5" i="1"/>
  <c r="Q1054" i="1"/>
  <c r="Q231" i="1"/>
  <c r="V725" i="1"/>
  <c r="P448" i="1"/>
  <c r="P901" i="1"/>
  <c r="P994" i="1"/>
  <c r="T883" i="1"/>
  <c r="S938" i="1"/>
  <c r="U610" i="1"/>
  <c r="P42" i="1"/>
  <c r="W499" i="1"/>
  <c r="U471" i="1"/>
  <c r="U622" i="1"/>
  <c r="Q1018" i="1"/>
  <c r="P951" i="1"/>
  <c r="U592" i="1"/>
  <c r="Q797" i="1"/>
  <c r="Q920" i="1"/>
  <c r="V395" i="1"/>
  <c r="T204" i="1"/>
  <c r="S900" i="1"/>
  <c r="R729" i="1"/>
  <c r="Q549" i="1"/>
  <c r="U661" i="1"/>
  <c r="R953" i="1"/>
  <c r="T251" i="1"/>
  <c r="P536" i="1"/>
  <c r="P893" i="1"/>
  <c r="S772" i="1"/>
  <c r="R960" i="1"/>
  <c r="R597" i="1"/>
  <c r="Q519" i="1"/>
  <c r="Q903" i="1"/>
  <c r="W34" i="1"/>
  <c r="W617" i="1"/>
  <c r="R949" i="1"/>
  <c r="R650" i="1"/>
  <c r="Q787" i="1"/>
  <c r="W680" i="1"/>
  <c r="P794" i="1"/>
  <c r="U515" i="1"/>
  <c r="W735" i="1"/>
  <c r="V592" i="1"/>
  <c r="Q645" i="1"/>
  <c r="Q1049" i="1"/>
  <c r="T747" i="1"/>
  <c r="P1011" i="1"/>
  <c r="T505" i="1"/>
  <c r="R972" i="1"/>
  <c r="P662" i="1"/>
  <c r="R239" i="1"/>
  <c r="R187" i="1"/>
  <c r="P948" i="1"/>
  <c r="P466" i="1"/>
  <c r="S369" i="1"/>
  <c r="S871" i="1"/>
  <c r="T236" i="1"/>
  <c r="P833" i="1"/>
  <c r="U538" i="1"/>
  <c r="R720" i="1"/>
  <c r="S537" i="1"/>
  <c r="S255" i="1"/>
  <c r="R697" i="1"/>
  <c r="W595" i="1"/>
  <c r="P63" i="1"/>
  <c r="Q578" i="1"/>
  <c r="Q1030" i="1"/>
  <c r="U320" i="1"/>
  <c r="S646" i="1"/>
  <c r="Q911" i="1"/>
  <c r="P857" i="1"/>
  <c r="Q334" i="1"/>
  <c r="U171" i="1"/>
  <c r="P406" i="1"/>
  <c r="S990" i="1"/>
  <c r="P471" i="1"/>
  <c r="R292" i="1"/>
  <c r="Q824" i="1"/>
  <c r="T696" i="1"/>
  <c r="S730" i="1"/>
  <c r="T888" i="1"/>
  <c r="V499" i="1"/>
  <c r="R487" i="1"/>
  <c r="W703" i="1"/>
  <c r="R671" i="1"/>
  <c r="U664" i="1"/>
  <c r="T862" i="1"/>
  <c r="P846" i="1"/>
  <c r="U657" i="1"/>
  <c r="S1011" i="1"/>
  <c r="R917" i="1"/>
  <c r="U485" i="1"/>
  <c r="V500" i="1"/>
  <c r="S916" i="1"/>
  <c r="R528" i="1"/>
  <c r="P766" i="1"/>
  <c r="W655" i="1"/>
  <c r="S835" i="1"/>
  <c r="P782" i="1"/>
  <c r="Q830" i="1"/>
  <c r="R862" i="1"/>
  <c r="W422" i="1"/>
  <c r="S487" i="1"/>
  <c r="Q946" i="1"/>
  <c r="W647" i="1"/>
  <c r="Q654" i="1"/>
  <c r="Q421" i="1"/>
  <c r="P867" i="1"/>
  <c r="P904" i="1"/>
  <c r="P667" i="1"/>
  <c r="V333" i="1"/>
  <c r="Q551" i="1"/>
  <c r="T874" i="1"/>
  <c r="V480" i="1"/>
  <c r="R864" i="1"/>
  <c r="R872" i="1"/>
  <c r="S695" i="1"/>
  <c r="P1047" i="1"/>
  <c r="V186" i="1"/>
  <c r="Q788" i="1"/>
  <c r="T980" i="1"/>
  <c r="Q643" i="1"/>
  <c r="T917" i="1"/>
  <c r="R747" i="1"/>
  <c r="R285" i="1"/>
  <c r="S250" i="1"/>
  <c r="Q984" i="1"/>
  <c r="R441" i="1"/>
  <c r="S629" i="1"/>
  <c r="P803" i="1"/>
  <c r="R825" i="1"/>
  <c r="S673" i="1"/>
  <c r="S760" i="1"/>
  <c r="R745" i="1"/>
  <c r="P912" i="1"/>
  <c r="T996" i="1"/>
  <c r="R901" i="1"/>
  <c r="R266" i="1"/>
  <c r="R1009" i="1"/>
  <c r="Q658" i="1"/>
  <c r="S510" i="1"/>
  <c r="T818" i="1"/>
  <c r="S551" i="1"/>
  <c r="U628" i="1"/>
  <c r="P1025" i="1"/>
  <c r="Q439" i="1"/>
  <c r="P339" i="1"/>
  <c r="P509" i="1"/>
  <c r="T170" i="1"/>
  <c r="T749" i="1"/>
  <c r="U348" i="1"/>
  <c r="W643" i="1"/>
  <c r="T688" i="1"/>
  <c r="R841" i="1"/>
  <c r="S459" i="1"/>
  <c r="U616" i="1"/>
  <c r="Q382" i="1"/>
  <c r="S282" i="1"/>
  <c r="U734" i="1"/>
  <c r="T655" i="1"/>
  <c r="Q755" i="1"/>
  <c r="T753" i="1"/>
  <c r="T820" i="1"/>
  <c r="R364" i="1"/>
  <c r="S453" i="1"/>
  <c r="Q304" i="1"/>
  <c r="P860" i="1"/>
  <c r="W170" i="1"/>
  <c r="R435" i="1"/>
  <c r="P814" i="1"/>
  <c r="S896" i="1"/>
  <c r="T1022" i="1"/>
  <c r="W149" i="1"/>
  <c r="S458" i="1"/>
  <c r="R990" i="1"/>
  <c r="U681" i="1"/>
  <c r="V643" i="1"/>
  <c r="Q664" i="1"/>
  <c r="R875" i="1"/>
  <c r="W304" i="1"/>
  <c r="U176" i="1"/>
  <c r="P1018" i="1"/>
  <c r="Q1038" i="1"/>
  <c r="S171" i="1"/>
  <c r="T722" i="1"/>
  <c r="T156" i="1"/>
  <c r="R876" i="1"/>
  <c r="W670" i="1"/>
  <c r="W659" i="1"/>
  <c r="S809" i="1"/>
  <c r="T845" i="1"/>
  <c r="Q1026" i="1"/>
  <c r="R824" i="1"/>
  <c r="V442" i="1"/>
  <c r="W682" i="1"/>
  <c r="P576" i="1"/>
  <c r="S898" i="1"/>
  <c r="P933" i="1"/>
  <c r="S707" i="1"/>
  <c r="P421" i="1"/>
  <c r="R4" i="1"/>
  <c r="P839" i="1"/>
  <c r="S837" i="1"/>
  <c r="R848" i="1"/>
  <c r="T1011" i="1"/>
  <c r="Q742" i="1"/>
  <c r="V673" i="1"/>
  <c r="P983" i="1"/>
  <c r="T1005" i="1"/>
  <c r="R989" i="1"/>
  <c r="P433" i="1"/>
  <c r="U393" i="1"/>
  <c r="U701" i="1"/>
  <c r="U663" i="1"/>
  <c r="U690" i="1"/>
  <c r="P430" i="1"/>
  <c r="U609" i="1"/>
  <c r="Q663" i="1"/>
  <c r="T934" i="1"/>
  <c r="S937" i="1"/>
  <c r="V317" i="1"/>
  <c r="T515" i="1"/>
  <c r="T707" i="1"/>
  <c r="U732" i="1"/>
  <c r="V639" i="1"/>
  <c r="Q835" i="1"/>
  <c r="S1016" i="1"/>
  <c r="R801" i="1"/>
  <c r="P806" i="1"/>
  <c r="S972" i="1"/>
  <c r="W504" i="1"/>
  <c r="R417" i="1"/>
  <c r="S770" i="1"/>
  <c r="R1007" i="1"/>
  <c r="R716" i="1"/>
  <c r="U706" i="1"/>
  <c r="S765" i="1"/>
  <c r="V544" i="1"/>
  <c r="Q925" i="1"/>
  <c r="T603" i="1"/>
  <c r="P1052" i="1"/>
  <c r="Q859" i="1"/>
  <c r="S885" i="1"/>
  <c r="R868" i="1"/>
  <c r="R965" i="1"/>
  <c r="Q736" i="1"/>
  <c r="T789" i="1"/>
  <c r="P681" i="1"/>
  <c r="R885" i="1"/>
  <c r="T742" i="1"/>
  <c r="S740" i="1"/>
  <c r="T1006" i="1"/>
  <c r="P1006" i="1"/>
  <c r="S984" i="1"/>
  <c r="P374" i="1"/>
  <c r="U461" i="1"/>
  <c r="P757" i="1"/>
  <c r="P715" i="1"/>
  <c r="P511" i="1"/>
  <c r="T910" i="1"/>
  <c r="S630" i="1"/>
  <c r="T828" i="1"/>
  <c r="R859" i="1"/>
  <c r="R789" i="1"/>
  <c r="S801" i="1"/>
  <c r="P478" i="1"/>
  <c r="R774" i="1"/>
  <c r="R969" i="1"/>
  <c r="R751" i="1"/>
  <c r="P593" i="1"/>
  <c r="R856" i="1"/>
  <c r="W471" i="1"/>
  <c r="Q1023" i="1"/>
  <c r="W622" i="1"/>
  <c r="T936" i="1"/>
  <c r="Q541" i="1"/>
  <c r="P987" i="1"/>
  <c r="S850" i="1"/>
  <c r="P540" i="1"/>
  <c r="Q921" i="1"/>
  <c r="P463" i="1"/>
  <c r="U708" i="1"/>
  <c r="U496" i="1"/>
  <c r="T1021" i="1"/>
  <c r="W358" i="1"/>
  <c r="V549" i="1"/>
  <c r="T424" i="1"/>
  <c r="T965" i="1"/>
  <c r="U305" i="1"/>
  <c r="P772" i="1"/>
  <c r="U399" i="1"/>
  <c r="T817" i="1"/>
  <c r="Q652" i="1"/>
  <c r="Q707" i="1"/>
  <c r="T767" i="1"/>
  <c r="T902" i="1"/>
  <c r="S701" i="1"/>
  <c r="W531" i="1"/>
  <c r="Q571" i="1"/>
  <c r="V718" i="1"/>
  <c r="U730" i="1"/>
  <c r="Q1012" i="1"/>
  <c r="W594" i="1"/>
  <c r="R698" i="1"/>
  <c r="Q653" i="1"/>
  <c r="U491" i="1"/>
  <c r="R706" i="1"/>
  <c r="U735" i="1"/>
  <c r="Q746" i="1"/>
  <c r="V490" i="1"/>
  <c r="P644" i="1"/>
  <c r="T557" i="1"/>
  <c r="S907" i="1"/>
  <c r="P815" i="1"/>
  <c r="U278" i="1"/>
  <c r="P659" i="1"/>
  <c r="V502" i="1"/>
  <c r="Q800" i="1"/>
  <c r="Q878" i="1"/>
  <c r="R344" i="1"/>
  <c r="T800" i="1"/>
  <c r="P968" i="1"/>
  <c r="R634" i="1"/>
  <c r="P373" i="1"/>
  <c r="P879" i="1"/>
  <c r="P1048" i="1"/>
  <c r="Q561" i="1"/>
  <c r="Q476" i="1"/>
  <c r="P379" i="1"/>
  <c r="P182" i="1"/>
  <c r="P669" i="1"/>
  <c r="R618" i="1"/>
  <c r="R1011" i="1"/>
  <c r="Q633" i="1"/>
  <c r="Q774" i="1"/>
  <c r="T990" i="1"/>
  <c r="S568" i="1"/>
  <c r="U280" i="1"/>
  <c r="R1039" i="1"/>
  <c r="T618" i="1"/>
  <c r="T933" i="1"/>
  <c r="P614" i="1"/>
  <c r="P935" i="1"/>
  <c r="P906" i="1"/>
  <c r="Q398" i="1"/>
  <c r="U519" i="1"/>
  <c r="P872" i="1"/>
  <c r="T894" i="1"/>
  <c r="V394" i="1"/>
  <c r="P473" i="1"/>
  <c r="Q544" i="1"/>
  <c r="S588" i="1"/>
  <c r="T574" i="1"/>
  <c r="P861" i="1"/>
  <c r="S50" i="1"/>
  <c r="R925" i="1"/>
  <c r="P940" i="1"/>
  <c r="Q784" i="1"/>
  <c r="Q864" i="1"/>
  <c r="R766" i="1"/>
  <c r="T939" i="1"/>
  <c r="P734" i="1"/>
  <c r="R555" i="1"/>
  <c r="U201" i="1"/>
  <c r="Q363" i="1"/>
  <c r="S927" i="1"/>
  <c r="Q776" i="1"/>
  <c r="R584" i="1"/>
  <c r="S205" i="1"/>
  <c r="P995" i="1"/>
  <c r="U693" i="1"/>
  <c r="S947" i="1"/>
  <c r="T821" i="1"/>
  <c r="S717" i="1"/>
  <c r="T669" i="1"/>
  <c r="S390" i="1"/>
  <c r="P588" i="1"/>
  <c r="S786" i="1"/>
  <c r="P821" i="1"/>
  <c r="Q839" i="1"/>
  <c r="Q1029" i="1"/>
  <c r="V629" i="1"/>
  <c r="W73" i="1"/>
  <c r="P609" i="1"/>
  <c r="W385" i="1"/>
  <c r="P853" i="1"/>
  <c r="T548" i="1"/>
  <c r="P599" i="1"/>
  <c r="W570" i="1"/>
  <c r="W701" i="1"/>
  <c r="V458" i="1"/>
  <c r="Q200" i="1"/>
  <c r="P429" i="1"/>
  <c r="P908" i="1"/>
  <c r="W245" i="1"/>
  <c r="R422" i="1"/>
  <c r="T937" i="1"/>
  <c r="T178" i="1"/>
  <c r="V49" i="1"/>
  <c r="R658" i="1"/>
  <c r="R743" i="1"/>
  <c r="W277" i="1"/>
  <c r="R913" i="1"/>
  <c r="W436" i="1"/>
  <c r="T189" i="1"/>
  <c r="W565" i="1"/>
  <c r="P979" i="1"/>
  <c r="R254" i="1"/>
  <c r="S393" i="1"/>
  <c r="T346" i="1"/>
  <c r="T649" i="1"/>
  <c r="U271" i="1"/>
  <c r="T469" i="1"/>
  <c r="P720" i="1"/>
  <c r="S699" i="1"/>
  <c r="R398" i="1"/>
  <c r="T652" i="1"/>
  <c r="Q505" i="1"/>
  <c r="S441" i="1"/>
  <c r="P458" i="1"/>
  <c r="W376" i="1"/>
  <c r="P727" i="1"/>
  <c r="T1007" i="1"/>
  <c r="W526" i="1"/>
  <c r="Q829" i="1"/>
  <c r="R123" i="1"/>
  <c r="S100" i="1"/>
  <c r="T667" i="1"/>
  <c r="Q481" i="1"/>
  <c r="Q268" i="1"/>
  <c r="Q931" i="1"/>
  <c r="T1018" i="1"/>
  <c r="U244" i="1"/>
  <c r="R463" i="1"/>
  <c r="S685" i="1"/>
  <c r="R394" i="1"/>
  <c r="P173" i="1"/>
  <c r="Q687" i="1"/>
  <c r="Q650" i="1"/>
  <c r="S466" i="1"/>
  <c r="R804" i="1"/>
  <c r="R589" i="1"/>
  <c r="Q981" i="1"/>
  <c r="U377" i="1"/>
  <c r="Q815" i="1"/>
  <c r="W68" i="1"/>
  <c r="S687" i="1"/>
  <c r="S509" i="1"/>
  <c r="Q277" i="1"/>
  <c r="V626" i="1"/>
  <c r="P786" i="1"/>
  <c r="T376" i="1"/>
  <c r="Q692" i="1"/>
  <c r="R118" i="1"/>
  <c r="T168" i="1"/>
  <c r="S724" i="1"/>
  <c r="T408" i="1"/>
  <c r="V633" i="1"/>
  <c r="Q395" i="1"/>
  <c r="R543" i="1"/>
  <c r="S671" i="1"/>
  <c r="V370" i="1"/>
  <c r="P1020" i="1"/>
  <c r="V416" i="1"/>
  <c r="R708" i="1"/>
  <c r="R647" i="1"/>
  <c r="P583" i="1"/>
  <c r="S415" i="1"/>
  <c r="R837" i="1"/>
  <c r="T350" i="1"/>
  <c r="T918" i="1"/>
  <c r="P965" i="1"/>
  <c r="T875" i="1"/>
  <c r="T549" i="1"/>
  <c r="T726" i="1"/>
  <c r="S592" i="1"/>
  <c r="Q135" i="1"/>
  <c r="P639" i="1"/>
  <c r="T752" i="1"/>
  <c r="V651" i="1"/>
  <c r="Q885" i="1"/>
  <c r="V676" i="1"/>
  <c r="T887" i="1"/>
  <c r="R884" i="1"/>
  <c r="Q655" i="1"/>
  <c r="P909" i="1"/>
  <c r="Q456" i="1"/>
  <c r="P283" i="1"/>
  <c r="U414" i="1"/>
  <c r="S501" i="1"/>
  <c r="S543" i="1"/>
  <c r="P483" i="1"/>
  <c r="Q772" i="1"/>
  <c r="P759" i="1"/>
  <c r="Q1024" i="1"/>
  <c r="R1022" i="1"/>
  <c r="P425" i="1"/>
  <c r="P1017" i="1"/>
  <c r="V604" i="1"/>
  <c r="U533" i="1"/>
  <c r="T544" i="1"/>
  <c r="Q874" i="1"/>
  <c r="P391" i="1"/>
  <c r="P863" i="1"/>
  <c r="V569" i="1"/>
  <c r="U595" i="1"/>
  <c r="U262" i="1"/>
  <c r="U397" i="1"/>
  <c r="S213" i="1"/>
  <c r="R998" i="1"/>
  <c r="U713" i="1"/>
  <c r="S822" i="1"/>
  <c r="S670" i="1"/>
  <c r="T470" i="1"/>
  <c r="P854" i="1"/>
  <c r="Q822" i="1"/>
  <c r="W334" i="1"/>
  <c r="U311" i="1"/>
  <c r="Q740" i="1"/>
  <c r="R62" i="1"/>
  <c r="V556" i="1"/>
  <c r="V119" i="1"/>
  <c r="Q319" i="1"/>
  <c r="Q1052" i="1"/>
  <c r="P633" i="1"/>
  <c r="U465" i="1"/>
  <c r="T119" i="1"/>
  <c r="Q434" i="1"/>
  <c r="Q756" i="1"/>
  <c r="R506" i="1"/>
  <c r="R1024" i="1"/>
  <c r="S546" i="1"/>
  <c r="S476" i="1"/>
  <c r="U359" i="1"/>
  <c r="S816" i="1"/>
  <c r="P518" i="1"/>
  <c r="Q1010" i="1"/>
  <c r="S304" i="1"/>
  <c r="P750" i="1"/>
  <c r="V286" i="1"/>
  <c r="Q1042" i="1"/>
  <c r="W379" i="1"/>
  <c r="Q924" i="1"/>
  <c r="R728" i="1"/>
  <c r="P991" i="1"/>
  <c r="V597" i="1"/>
  <c r="Q818" i="1"/>
  <c r="S151" i="1"/>
  <c r="P682" i="1"/>
  <c r="Q1043" i="1"/>
  <c r="T644" i="1"/>
  <c r="Q932" i="1"/>
  <c r="P823" i="1"/>
  <c r="Q980" i="1"/>
  <c r="P755" i="1"/>
  <c r="P992" i="1"/>
  <c r="R562" i="1"/>
  <c r="R992" i="1"/>
  <c r="W47" i="1"/>
  <c r="P708" i="1"/>
  <c r="T648" i="1"/>
  <c r="S408" i="1"/>
  <c r="U272" i="1"/>
  <c r="T540" i="1"/>
  <c r="T983" i="1"/>
  <c r="S531" i="1"/>
  <c r="S457" i="1"/>
  <c r="Q698" i="1"/>
  <c r="W267" i="1"/>
  <c r="V429" i="1"/>
  <c r="P1046" i="1"/>
  <c r="Q956" i="1"/>
  <c r="V430" i="1"/>
  <c r="P671" i="1"/>
  <c r="R947" i="1"/>
  <c r="P997" i="1"/>
  <c r="R363" i="1"/>
  <c r="R379" i="1"/>
  <c r="T908" i="1"/>
  <c r="R999" i="1"/>
  <c r="T55" i="1"/>
  <c r="U344" i="1"/>
  <c r="V585" i="1"/>
  <c r="R370" i="1"/>
  <c r="R231" i="1"/>
  <c r="T410" i="1"/>
  <c r="W487" i="1"/>
  <c r="R676" i="1"/>
  <c r="Q520" i="1"/>
  <c r="R1049" i="1"/>
  <c r="U342" i="1"/>
  <c r="R630" i="1"/>
  <c r="V43" i="1"/>
  <c r="W704" i="1"/>
  <c r="R797" i="1"/>
  <c r="T952" i="1"/>
  <c r="W720" i="1"/>
  <c r="T147" i="1"/>
  <c r="U635" i="1"/>
  <c r="P907" i="1"/>
  <c r="S464" i="1"/>
  <c r="S960" i="1"/>
  <c r="S930" i="1"/>
  <c r="S528" i="1"/>
  <c r="Q683" i="1"/>
  <c r="R871" i="1"/>
  <c r="V192" i="1"/>
  <c r="Q959" i="1"/>
  <c r="P931" i="1"/>
  <c r="P923" i="1"/>
  <c r="Q605" i="1"/>
  <c r="S1041" i="1"/>
  <c r="T836" i="1"/>
  <c r="V531" i="1"/>
  <c r="R563" i="1"/>
  <c r="S743" i="1"/>
  <c r="R693" i="1"/>
  <c r="R516" i="1"/>
  <c r="T748" i="1"/>
  <c r="U413" i="1"/>
  <c r="R1033" i="1"/>
  <c r="R843" i="1"/>
  <c r="S749" i="1"/>
  <c r="P947" i="1"/>
  <c r="S698" i="1"/>
  <c r="S775" i="1"/>
  <c r="S967" i="1"/>
  <c r="S965" i="1"/>
  <c r="R840" i="1"/>
  <c r="V355" i="1"/>
  <c r="P703" i="1"/>
  <c r="R71" i="1"/>
  <c r="S762" i="1"/>
  <c r="R224" i="1"/>
  <c r="S492" i="1"/>
  <c r="P274" i="1"/>
  <c r="P37" i="1"/>
  <c r="Q349" i="1"/>
  <c r="T716" i="1"/>
  <c r="U737" i="1"/>
  <c r="Q569" i="1"/>
  <c r="V503" i="1"/>
  <c r="Q938" i="1"/>
  <c r="Q900" i="1"/>
  <c r="P442" i="1"/>
  <c r="T637" i="1"/>
  <c r="R181" i="1"/>
  <c r="P1009" i="1"/>
  <c r="U676" i="1"/>
  <c r="P522" i="1"/>
  <c r="Q1048" i="1"/>
  <c r="V69" i="1"/>
  <c r="P723" i="1"/>
  <c r="V711" i="1"/>
  <c r="S257" i="1"/>
  <c r="T683" i="1"/>
  <c r="S999" i="1"/>
  <c r="W129" i="1"/>
  <c r="T258" i="1"/>
  <c r="T464" i="1"/>
  <c r="V421" i="1"/>
  <c r="P958" i="1"/>
  <c r="U684" i="1"/>
  <c r="T694" i="1"/>
  <c r="S287" i="1"/>
  <c r="U419" i="1"/>
  <c r="Q413" i="1"/>
  <c r="P495" i="1"/>
  <c r="V702" i="1"/>
  <c r="Q1005" i="1"/>
  <c r="T580" i="1"/>
  <c r="S651" i="1"/>
  <c r="W514" i="1"/>
  <c r="V278" i="1"/>
  <c r="U557" i="1"/>
  <c r="Q486" i="1"/>
  <c r="W677" i="1"/>
  <c r="U736" i="1"/>
  <c r="T969" i="1"/>
  <c r="T1020" i="1"/>
  <c r="R735" i="1"/>
  <c r="R496" i="1"/>
  <c r="Q189" i="1"/>
  <c r="S933" i="1"/>
  <c r="S653" i="1"/>
  <c r="P412" i="1"/>
  <c r="W362" i="1"/>
  <c r="Q624" i="1"/>
  <c r="W482" i="1"/>
  <c r="S409" i="1"/>
  <c r="R147" i="1"/>
  <c r="S983" i="1"/>
  <c r="V279" i="1"/>
  <c r="V10" i="1"/>
  <c r="U239" i="1"/>
  <c r="V13" i="1"/>
  <c r="S708" i="1"/>
  <c r="R823" i="1"/>
  <c r="R397" i="1"/>
  <c r="W584" i="1"/>
  <c r="U603" i="1"/>
  <c r="P444" i="1"/>
  <c r="U731" i="1"/>
  <c r="R291" i="1"/>
  <c r="U392" i="1"/>
  <c r="T413" i="1"/>
  <c r="P567" i="1"/>
  <c r="P971" i="1"/>
  <c r="W81" i="1"/>
  <c r="S905" i="1"/>
  <c r="S207" i="1"/>
  <c r="Q979" i="1"/>
  <c r="T527" i="1"/>
  <c r="Q278" i="1"/>
  <c r="Q828" i="1"/>
  <c r="Q574" i="1"/>
  <c r="T645" i="1"/>
  <c r="S1018" i="1"/>
  <c r="Q987" i="1"/>
  <c r="U711" i="1"/>
  <c r="S814" i="1"/>
  <c r="U666" i="1"/>
  <c r="S748" i="1"/>
  <c r="S354" i="1"/>
  <c r="S821" i="1"/>
  <c r="S888" i="1"/>
  <c r="T342" i="1"/>
  <c r="U698" i="1"/>
  <c r="S1006" i="1"/>
  <c r="U443" i="1"/>
  <c r="V565" i="1"/>
  <c r="R763" i="1"/>
  <c r="S869" i="1"/>
  <c r="R692" i="1"/>
  <c r="S356" i="1"/>
  <c r="P856" i="1"/>
  <c r="S694" i="1"/>
  <c r="Q435" i="1"/>
  <c r="P299" i="1"/>
  <c r="Q1001" i="1"/>
  <c r="S550" i="1"/>
  <c r="R881" i="1"/>
  <c r="R643" i="1"/>
  <c r="W105" i="1"/>
  <c r="V377" i="1"/>
  <c r="V492" i="1"/>
  <c r="T995" i="1"/>
  <c r="T886" i="1"/>
  <c r="Q802" i="1"/>
  <c r="S800" i="1"/>
  <c r="R183" i="1"/>
  <c r="V548" i="1"/>
  <c r="S632" i="1"/>
  <c r="V504" i="1"/>
  <c r="R568" i="1"/>
  <c r="S827" i="1"/>
  <c r="T661" i="1"/>
  <c r="T687" i="1"/>
  <c r="P780" i="1"/>
  <c r="V657" i="1"/>
  <c r="T896" i="1"/>
  <c r="T795" i="1"/>
  <c r="R666" i="1"/>
  <c r="S1008" i="1"/>
  <c r="T866" i="1"/>
  <c r="P621" i="1"/>
  <c r="S600" i="1"/>
  <c r="Q876" i="1"/>
  <c r="Q178" i="1"/>
  <c r="W663" i="1"/>
  <c r="Q530" i="1"/>
  <c r="R557" i="1"/>
  <c r="W538" i="1"/>
  <c r="S823" i="1"/>
  <c r="P1053" i="1"/>
  <c r="T604" i="1"/>
  <c r="T519" i="1"/>
  <c r="S323" i="1"/>
  <c r="P865" i="1"/>
  <c r="Q285" i="1"/>
  <c r="U73" i="1"/>
  <c r="S6" i="1"/>
  <c r="R407" i="1"/>
  <c r="R957" i="1"/>
  <c r="S935" i="1"/>
  <c r="W257" i="1"/>
  <c r="P826" i="1"/>
  <c r="T265" i="1"/>
  <c r="P882" i="1"/>
  <c r="R958" i="1"/>
  <c r="U256" i="1"/>
  <c r="V486" i="1"/>
  <c r="S721" i="1"/>
  <c r="Q488" i="1"/>
  <c r="Q509" i="1"/>
  <c r="P106" i="1"/>
  <c r="P615" i="1"/>
  <c r="R409" i="1"/>
  <c r="W694" i="1"/>
  <c r="V712" i="1"/>
  <c r="R531" i="1"/>
  <c r="R624" i="1"/>
  <c r="T355" i="1"/>
  <c r="Q384" i="1"/>
  <c r="Q989" i="1"/>
  <c r="R904" i="1"/>
  <c r="W485" i="1"/>
  <c r="P605" i="1"/>
  <c r="R975" i="1"/>
  <c r="S718" i="1"/>
  <c r="Q913" i="1"/>
  <c r="W515" i="1"/>
  <c r="P589" i="1"/>
  <c r="R874" i="1"/>
  <c r="T864" i="1"/>
  <c r="T975" i="1"/>
  <c r="S963" i="1"/>
  <c r="U613" i="1"/>
  <c r="P916" i="1"/>
  <c r="W650" i="1"/>
  <c r="Q738" i="1"/>
  <c r="Q392" i="1"/>
  <c r="R637" i="1"/>
  <c r="S1045" i="1"/>
  <c r="V603" i="1"/>
  <c r="U81" i="1"/>
  <c r="P842" i="1"/>
  <c r="T338" i="1"/>
  <c r="P648" i="1"/>
  <c r="S860" i="1"/>
  <c r="W397" i="1"/>
  <c r="S794" i="1"/>
  <c r="Q565" i="1"/>
  <c r="R776" i="1"/>
  <c r="Q566" i="1"/>
  <c r="Q1006" i="1"/>
  <c r="T622" i="1"/>
  <c r="U289" i="1"/>
  <c r="P261" i="1"/>
  <c r="Q186" i="1"/>
  <c r="U568" i="1"/>
  <c r="R793" i="1"/>
  <c r="R317" i="1"/>
  <c r="P1026" i="1"/>
  <c r="W505" i="1"/>
  <c r="T454" i="1"/>
  <c r="R234" i="1"/>
  <c r="T476" i="1"/>
  <c r="S384" i="1"/>
  <c r="R850" i="1"/>
  <c r="W243" i="1"/>
  <c r="W607" i="1"/>
  <c r="U352" i="1"/>
  <c r="W368" i="1"/>
  <c r="P851" i="1"/>
  <c r="R391" i="1"/>
  <c r="W519" i="1"/>
  <c r="Q782" i="1"/>
  <c r="W532" i="1"/>
  <c r="P837" i="1"/>
  <c r="S849" i="1"/>
  <c r="P646" i="1"/>
  <c r="V489" i="1"/>
  <c r="Q597" i="1"/>
  <c r="R664" i="1"/>
  <c r="V412" i="1"/>
  <c r="R493" i="1"/>
  <c r="P795" i="1"/>
  <c r="R778" i="1"/>
  <c r="T989" i="1"/>
  <c r="Q809" i="1"/>
  <c r="V432" i="1"/>
  <c r="Q5" i="1"/>
  <c r="W364" i="1"/>
  <c r="W244" i="1"/>
  <c r="U314" i="1"/>
  <c r="S617" i="1"/>
  <c r="U316" i="1"/>
  <c r="S477" i="1"/>
  <c r="R83" i="1"/>
  <c r="R573" i="1"/>
  <c r="Q983" i="1"/>
  <c r="T542" i="1"/>
  <c r="W474" i="1"/>
  <c r="S702" i="1"/>
  <c r="S1019" i="1"/>
  <c r="Q357" i="1"/>
  <c r="Q39" i="1"/>
  <c r="S556" i="1"/>
  <c r="V635" i="1"/>
  <c r="Q1021" i="1"/>
  <c r="P498" i="1"/>
  <c r="V219" i="1"/>
  <c r="S795" i="1"/>
  <c r="W335" i="1"/>
  <c r="T148" i="1"/>
  <c r="W490" i="1"/>
  <c r="T248" i="1"/>
  <c r="Q905" i="1"/>
  <c r="W398" i="1"/>
  <c r="W104" i="1"/>
  <c r="R429" i="1"/>
  <c r="T730" i="1"/>
  <c r="T40" i="1"/>
  <c r="P679" i="1"/>
  <c r="Q694" i="1"/>
  <c r="W256" i="1"/>
  <c r="U132" i="1"/>
  <c r="T8" i="1"/>
  <c r="R762" i="1"/>
  <c r="R175" i="1"/>
  <c r="S674" i="1"/>
  <c r="T615" i="1"/>
  <c r="S908" i="1"/>
  <c r="T487" i="1"/>
  <c r="S829" i="1"/>
  <c r="V726" i="1"/>
  <c r="S878" i="1"/>
  <c r="W107" i="1"/>
  <c r="U670" i="1"/>
  <c r="S234" i="1"/>
  <c r="S182" i="1"/>
  <c r="Q341" i="1"/>
  <c r="R1005" i="1"/>
  <c r="P600" i="1"/>
  <c r="S951" i="1"/>
  <c r="P804" i="1"/>
  <c r="Q684" i="1"/>
  <c r="R1041" i="1"/>
  <c r="T840" i="1"/>
  <c r="Q940" i="1"/>
  <c r="Q1033" i="1"/>
  <c r="T808" i="1"/>
  <c r="Q149" i="1"/>
  <c r="U541" i="1"/>
  <c r="Q322" i="1"/>
  <c r="P953" i="1"/>
  <c r="R717" i="1"/>
  <c r="Q599" i="1"/>
  <c r="R536" i="1"/>
  <c r="Q1034" i="1"/>
  <c r="V400" i="1"/>
  <c r="U394" i="1"/>
  <c r="T860" i="1"/>
  <c r="P695" i="1"/>
  <c r="Q641" i="1"/>
  <c r="R489" i="1"/>
  <c r="R1002" i="1"/>
  <c r="R437" i="1"/>
  <c r="P515" i="1"/>
  <c r="R1014" i="1"/>
  <c r="R796" i="1"/>
  <c r="T708" i="1"/>
  <c r="Q954" i="1"/>
  <c r="T513" i="1"/>
  <c r="V707" i="1"/>
  <c r="P253" i="1"/>
  <c r="S587" i="1"/>
  <c r="T872" i="1"/>
  <c r="W573" i="1"/>
  <c r="T770" i="1"/>
  <c r="Q126" i="1"/>
  <c r="Q793" i="1"/>
  <c r="U120" i="1"/>
  <c r="V132" i="1"/>
  <c r="S218" i="1"/>
  <c r="R530" i="1"/>
  <c r="S613" i="1"/>
  <c r="T963" i="1"/>
  <c r="P628" i="1"/>
  <c r="P420" i="1"/>
  <c r="Q526" i="1"/>
  <c r="V612" i="1"/>
  <c r="W390" i="1"/>
  <c r="S1022" i="1"/>
  <c r="U645" i="1"/>
  <c r="Q819" i="1"/>
  <c r="V540" i="1"/>
  <c r="U604" i="1"/>
  <c r="V485" i="1"/>
  <c r="R431" i="1"/>
  <c r="T510" i="1"/>
  <c r="P507" i="1"/>
  <c r="V151" i="1"/>
  <c r="R135" i="1"/>
  <c r="S1014" i="1"/>
  <c r="S691" i="1"/>
  <c r="Q842" i="1"/>
  <c r="W668" i="1"/>
  <c r="V477" i="1"/>
  <c r="W452" i="1"/>
  <c r="P240" i="1"/>
  <c r="W270" i="1"/>
  <c r="Q678" i="1"/>
  <c r="P546" i="1"/>
  <c r="T671" i="1"/>
  <c r="R687" i="1"/>
  <c r="P764" i="1"/>
  <c r="V440" i="1"/>
  <c r="Q261" i="1"/>
  <c r="R905" i="1"/>
  <c r="Q629" i="1"/>
  <c r="T794" i="1"/>
  <c r="Q620" i="1"/>
  <c r="R714" i="1"/>
  <c r="R525" i="1"/>
  <c r="W463" i="1"/>
  <c r="S478" i="1"/>
  <c r="R527" i="1"/>
  <c r="V545" i="1"/>
  <c r="P623" i="1"/>
  <c r="T234" i="1"/>
  <c r="Q880" i="1"/>
  <c r="Q159" i="1"/>
  <c r="V314" i="1"/>
  <c r="S582" i="1"/>
  <c r="P443" i="1"/>
  <c r="V615" i="1"/>
  <c r="Q648" i="1"/>
  <c r="R40" i="1"/>
  <c r="V323" i="1"/>
  <c r="Q227" i="1"/>
  <c r="S303" i="1"/>
  <c r="V627" i="1"/>
  <c r="S321" i="1"/>
  <c r="R787" i="1"/>
  <c r="P100" i="1"/>
  <c r="Q628" i="1"/>
  <c r="P372" i="1"/>
  <c r="T844" i="1"/>
  <c r="W616" i="1"/>
  <c r="W116" i="1"/>
  <c r="W555" i="1"/>
  <c r="P934" i="1"/>
  <c r="P613" i="1"/>
  <c r="W479" i="1"/>
  <c r="V602" i="1"/>
  <c r="S471" i="1"/>
  <c r="Q144" i="1"/>
  <c r="R966" i="1"/>
  <c r="U704" i="1"/>
  <c r="W84" i="1"/>
  <c r="W305" i="1"/>
  <c r="W472" i="1"/>
  <c r="T73" i="1"/>
  <c r="W453" i="1"/>
  <c r="T465" i="1"/>
  <c r="S470" i="1"/>
  <c r="T82" i="1"/>
  <c r="U509" i="1"/>
  <c r="Q705" i="1"/>
  <c r="R1023" i="1"/>
  <c r="R106" i="1"/>
  <c r="U594" i="1"/>
  <c r="Q317" i="1"/>
  <c r="R890" i="1"/>
  <c r="R681" i="1"/>
  <c r="V385" i="1"/>
  <c r="V473" i="1"/>
  <c r="P565" i="1"/>
  <c r="Q140" i="1"/>
  <c r="Q583" i="1"/>
  <c r="T195" i="1"/>
  <c r="S903" i="1"/>
  <c r="W678" i="1"/>
  <c r="S940" i="1"/>
  <c r="Q180" i="1"/>
  <c r="P710" i="1"/>
  <c r="R968" i="1"/>
  <c r="T555" i="1"/>
  <c r="S637" i="1"/>
  <c r="T904" i="1"/>
  <c r="R926" i="1"/>
  <c r="P314" i="1"/>
  <c r="U324" i="1"/>
  <c r="S533" i="1"/>
  <c r="Q847" i="1"/>
  <c r="Q474" i="1"/>
  <c r="Q532" i="1"/>
  <c r="T674" i="1"/>
  <c r="R940" i="1"/>
  <c r="S530" i="1"/>
  <c r="V631" i="1"/>
  <c r="Q941" i="1"/>
  <c r="U721" i="1"/>
  <c r="V630" i="1"/>
  <c r="T646" i="1"/>
  <c r="V9" i="1"/>
  <c r="P239" i="1"/>
  <c r="T508" i="1"/>
  <c r="Q479" i="1"/>
  <c r="T373" i="1"/>
  <c r="U368" i="1"/>
  <c r="P183" i="1"/>
  <c r="Q869" i="1"/>
  <c r="R705" i="1"/>
  <c r="S832" i="1"/>
  <c r="U442" i="1"/>
  <c r="S872" i="1"/>
  <c r="T64" i="1"/>
  <c r="U559" i="1"/>
  <c r="R172" i="1"/>
  <c r="Q995" i="1"/>
  <c r="V514" i="1"/>
  <c r="Q309" i="1"/>
  <c r="S567" i="1"/>
  <c r="R529" i="1"/>
  <c r="U213" i="1"/>
  <c r="W618" i="1"/>
  <c r="P355" i="1"/>
  <c r="V252" i="1"/>
  <c r="S153" i="1"/>
  <c r="U293" i="1"/>
  <c r="S590" i="1"/>
  <c r="W610" i="1"/>
  <c r="V621" i="1"/>
  <c r="Q760" i="1"/>
  <c r="P827" i="1"/>
  <c r="S395" i="1"/>
  <c r="Q884" i="1"/>
  <c r="Q124" i="1"/>
  <c r="U371" i="1"/>
  <c r="U516" i="1"/>
  <c r="P889" i="1"/>
  <c r="R577" i="1"/>
  <c r="W719" i="1"/>
  <c r="S777" i="1"/>
  <c r="Q949" i="1"/>
  <c r="W405" i="1"/>
  <c r="S597" i="1"/>
  <c r="P883" i="1"/>
  <c r="Q812" i="1"/>
  <c r="P584" i="1"/>
  <c r="R578" i="1"/>
  <c r="R817" i="1"/>
  <c r="T1015" i="1"/>
  <c r="S851" i="1"/>
  <c r="R895" i="1"/>
  <c r="V610" i="1"/>
  <c r="Q432" i="1"/>
  <c r="R849" i="1"/>
  <c r="U224" i="1"/>
  <c r="S811" i="1"/>
  <c r="S635" i="1"/>
  <c r="P209" i="1"/>
  <c r="Q100" i="1"/>
  <c r="V135" i="1"/>
  <c r="U692" i="1"/>
  <c r="T171" i="1"/>
  <c r="T13" i="1"/>
  <c r="Q289" i="1"/>
  <c r="Q955" i="1"/>
  <c r="T253" i="1"/>
  <c r="T535" i="1"/>
  <c r="S796" i="1"/>
  <c r="T714" i="1"/>
  <c r="U578" i="1"/>
  <c r="W281" i="1"/>
  <c r="W606" i="1"/>
  <c r="P894" i="1"/>
  <c r="V344" i="1"/>
  <c r="W684" i="1"/>
  <c r="Q993" i="1"/>
  <c r="S992" i="1"/>
  <c r="S711" i="1"/>
  <c r="R495" i="1"/>
  <c r="P955" i="1"/>
  <c r="R605" i="1"/>
  <c r="R865" i="1"/>
  <c r="P537" i="1"/>
  <c r="V443" i="1"/>
  <c r="T595" i="1"/>
  <c r="S662" i="1"/>
  <c r="T152" i="1"/>
  <c r="T724" i="1"/>
  <c r="S262" i="1"/>
  <c r="V285" i="1"/>
  <c r="S757" i="1"/>
  <c r="T876" i="1"/>
  <c r="R652" i="1"/>
  <c r="S385" i="1"/>
  <c r="T762" i="1"/>
  <c r="T1009" i="1"/>
  <c r="Q748" i="1"/>
  <c r="W224" i="1"/>
  <c r="S322" i="1"/>
  <c r="T763" i="1"/>
  <c r="R108" i="1"/>
  <c r="T546" i="1"/>
  <c r="U254" i="1"/>
  <c r="U432" i="1"/>
  <c r="S751" i="1"/>
  <c r="P393" i="1"/>
  <c r="U540" i="1"/>
  <c r="T366" i="1"/>
  <c r="U242" i="1"/>
  <c r="T226" i="1"/>
  <c r="T523" i="1"/>
  <c r="R420" i="1"/>
  <c r="P344" i="1"/>
  <c r="Q1025" i="1"/>
  <c r="W383" i="1"/>
  <c r="R829" i="1"/>
  <c r="V682" i="1"/>
  <c r="T531" i="1"/>
  <c r="V75" i="1"/>
  <c r="V354" i="1"/>
  <c r="S917" i="1"/>
  <c r="P480" i="1"/>
  <c r="V316" i="1"/>
  <c r="S512" i="1"/>
  <c r="W730" i="1"/>
  <c r="P232" i="1"/>
  <c r="W522" i="1"/>
  <c r="S732" i="1"/>
  <c r="Q112" i="1"/>
  <c r="P145" i="1"/>
  <c r="T751" i="1"/>
  <c r="S738" i="1"/>
  <c r="S404" i="1"/>
  <c r="W187" i="1"/>
  <c r="P73" i="1"/>
  <c r="S661" i="1"/>
  <c r="V605" i="1"/>
  <c r="P224" i="1"/>
  <c r="W7" i="1"/>
  <c r="R486" i="1"/>
  <c r="R690" i="1"/>
  <c r="P514" i="1"/>
  <c r="S55" i="1"/>
  <c r="T556" i="1"/>
  <c r="P950" i="1"/>
  <c r="T210" i="1"/>
  <c r="Q521" i="1"/>
  <c r="P938" i="1"/>
  <c r="R461" i="1"/>
  <c r="Q996" i="1"/>
  <c r="T1019" i="1"/>
  <c r="U362" i="1"/>
  <c r="S697" i="1"/>
  <c r="R1001" i="1"/>
  <c r="U492" i="1"/>
  <c r="P203" i="1"/>
  <c r="S320" i="1"/>
  <c r="V245" i="1"/>
  <c r="Q866" i="1"/>
  <c r="S328" i="1"/>
  <c r="R485" i="1"/>
  <c r="T802" i="1"/>
  <c r="U544" i="1"/>
  <c r="R360" i="1"/>
  <c r="R416" i="1"/>
  <c r="R390" i="1"/>
  <c r="U56" i="1"/>
  <c r="T801" i="1"/>
  <c r="Q375" i="1"/>
  <c r="V334" i="1"/>
  <c r="P732" i="1"/>
  <c r="R44" i="1"/>
  <c r="S525" i="1"/>
  <c r="R497" i="1"/>
  <c r="P937" i="1"/>
  <c r="V268" i="1"/>
  <c r="R587" i="1"/>
  <c r="P1012" i="1"/>
  <c r="P201" i="1"/>
  <c r="T898" i="1"/>
  <c r="Q631" i="1"/>
  <c r="V249" i="1"/>
  <c r="U451" i="1"/>
  <c r="P247" i="1"/>
  <c r="V699" i="1"/>
  <c r="V150" i="1"/>
  <c r="T629" i="1"/>
  <c r="S183" i="1"/>
  <c r="Q904" i="1"/>
  <c r="U198" i="1"/>
  <c r="S812" i="1"/>
  <c r="P855" i="1"/>
  <c r="R220" i="1"/>
  <c r="Q970" i="1"/>
  <c r="S803" i="1"/>
  <c r="R986" i="1"/>
  <c r="W723" i="1"/>
  <c r="U149" i="1"/>
  <c r="V586" i="1"/>
  <c r="T951" i="1"/>
  <c r="S299" i="1"/>
  <c r="P141" i="1"/>
  <c r="R746" i="1"/>
  <c r="P269" i="1"/>
  <c r="U285" i="1"/>
  <c r="V46" i="1"/>
  <c r="W303" i="1"/>
  <c r="U699" i="1"/>
  <c r="S899" i="1"/>
  <c r="T927" i="1"/>
  <c r="W566" i="1"/>
  <c r="S855" i="1"/>
  <c r="Q881" i="1"/>
  <c r="V591" i="1"/>
  <c r="Q906" i="1"/>
  <c r="S696" i="1"/>
  <c r="U600" i="1"/>
  <c r="Q717" i="1"/>
  <c r="T613" i="1"/>
  <c r="S735" i="1"/>
  <c r="T323" i="1"/>
  <c r="T445" i="1"/>
  <c r="T909" i="1"/>
  <c r="R490" i="1"/>
  <c r="P685" i="1"/>
  <c r="R723" i="1"/>
  <c r="R406" i="1"/>
  <c r="W90" i="1"/>
  <c r="V515" i="1"/>
  <c r="R453" i="1"/>
  <c r="T871" i="1"/>
  <c r="Q834" i="1"/>
  <c r="Q603" i="1"/>
  <c r="R613" i="1"/>
  <c r="P760" i="1"/>
  <c r="S643" i="1"/>
  <c r="P848" i="1"/>
  <c r="W667" i="1"/>
  <c r="T433" i="1"/>
  <c r="R309" i="1"/>
  <c r="S753" i="1"/>
  <c r="U612" i="1"/>
  <c r="T219" i="1"/>
  <c r="S859" i="1"/>
  <c r="V560" i="1"/>
  <c r="S733" i="1"/>
  <c r="Q625" i="1"/>
  <c r="P1008" i="1"/>
  <c r="S382" i="1"/>
  <c r="Q364" i="1"/>
  <c r="Q722" i="1"/>
  <c r="P590" i="1"/>
  <c r="R373" i="1"/>
  <c r="P233" i="1"/>
  <c r="R284" i="1"/>
  <c r="P263" i="1"/>
  <c r="S114" i="1"/>
  <c r="P749" i="1"/>
  <c r="U61" i="1"/>
  <c r="W441" i="1"/>
  <c r="P13" i="1"/>
  <c r="R190" i="1"/>
  <c r="T218" i="1"/>
  <c r="S922" i="1"/>
  <c r="U265" i="1"/>
  <c r="S379" i="1"/>
  <c r="S585" i="1"/>
  <c r="Q510" i="1"/>
  <c r="S665" i="1"/>
  <c r="T857" i="1"/>
  <c r="Q254" i="1"/>
  <c r="V722" i="1"/>
  <c r="R334" i="1"/>
  <c r="V73" i="1"/>
  <c r="S128" i="1"/>
  <c r="W419" i="1"/>
  <c r="R583" i="1"/>
  <c r="V371" i="1"/>
  <c r="W401" i="1"/>
  <c r="U329" i="1"/>
  <c r="V607" i="1"/>
  <c r="V654" i="1"/>
  <c r="P461" i="1"/>
  <c r="Q42" i="1"/>
  <c r="Q184" i="1"/>
  <c r="Q893" i="1"/>
  <c r="R877" i="1"/>
  <c r="Q378" i="1"/>
  <c r="V505" i="1"/>
  <c r="P714" i="1"/>
  <c r="R404" i="1"/>
  <c r="R993" i="1"/>
  <c r="V519" i="1"/>
  <c r="Q589" i="1"/>
  <c r="S971" i="1"/>
  <c r="W588" i="1"/>
  <c r="Q225" i="1"/>
  <c r="T571" i="1"/>
  <c r="S729" i="1"/>
  <c r="Q295" i="1"/>
  <c r="W473" i="1"/>
  <c r="V338" i="1"/>
  <c r="T725" i="1"/>
  <c r="S574" i="1"/>
  <c r="U179" i="1"/>
  <c r="T791" i="1"/>
  <c r="W300" i="1"/>
  <c r="T992" i="1"/>
  <c r="P7" i="1"/>
  <c r="V524" i="1"/>
  <c r="P635" i="1"/>
  <c r="U627" i="1"/>
  <c r="S599" i="1"/>
  <c r="P561" i="1"/>
  <c r="P742" i="1"/>
  <c r="V198" i="1"/>
  <c r="T961" i="1"/>
  <c r="V471" i="1"/>
  <c r="S12" i="1"/>
  <c r="S1010" i="1"/>
  <c r="V341" i="1"/>
  <c r="Q644" i="1"/>
  <c r="Q849" i="1"/>
  <c r="P580" i="1"/>
  <c r="S932" i="1"/>
  <c r="Q860" i="1"/>
  <c r="W461" i="1"/>
  <c r="T458" i="1"/>
  <c r="Q945" i="1"/>
  <c r="U129" i="1"/>
  <c r="W590" i="1"/>
  <c r="U180" i="1"/>
  <c r="W392" i="1"/>
  <c r="R818" i="1"/>
  <c r="Q923" i="1"/>
  <c r="R791" i="1"/>
  <c r="Q711" i="1"/>
  <c r="P701" i="1"/>
  <c r="S889" i="1"/>
  <c r="W140" i="1"/>
  <c r="V650" i="1"/>
  <c r="Q668" i="1"/>
  <c r="S964" i="1"/>
  <c r="P736" i="1"/>
  <c r="Q673" i="1"/>
  <c r="Q781" i="1"/>
  <c r="T328" i="1"/>
  <c r="S782" i="1"/>
  <c r="W660" i="1"/>
  <c r="R271" i="1"/>
  <c r="R339" i="1"/>
  <c r="R661" i="1"/>
  <c r="U354" i="1"/>
  <c r="R920" i="1"/>
  <c r="Q575" i="1"/>
  <c r="T83" i="1"/>
  <c r="T381" i="1"/>
  <c r="S737" i="1"/>
  <c r="T91" i="1"/>
  <c r="Q826" i="1"/>
  <c r="T998" i="1"/>
  <c r="T606" i="1"/>
  <c r="R158" i="1"/>
  <c r="S663" i="1"/>
  <c r="W282" i="1"/>
  <c r="S337" i="1"/>
  <c r="W321" i="1"/>
  <c r="S118" i="1"/>
  <c r="P591" i="1"/>
  <c r="W465" i="1"/>
  <c r="S595" i="1"/>
  <c r="S199" i="1"/>
  <c r="Q765" i="1"/>
  <c r="S847" i="1"/>
  <c r="S605" i="1"/>
  <c r="S405" i="1"/>
  <c r="Q146" i="1"/>
  <c r="R517" i="1"/>
  <c r="T403" i="1"/>
  <c r="Q329" i="1"/>
  <c r="T45" i="1"/>
  <c r="R592" i="1"/>
  <c r="P400" i="1"/>
  <c r="V284" i="1"/>
  <c r="Q53" i="1"/>
  <c r="T530" i="1"/>
  <c r="R967" i="1"/>
  <c r="W524" i="1"/>
  <c r="R847" i="1"/>
  <c r="W339" i="1"/>
  <c r="V226" i="1"/>
  <c r="Q737" i="1"/>
  <c r="U378" i="1"/>
  <c r="U259" i="1"/>
  <c r="U546" i="1"/>
  <c r="T750" i="1"/>
  <c r="V8" i="1"/>
  <c r="Q389" i="1"/>
  <c r="S347" i="1"/>
  <c r="T482" i="1"/>
  <c r="Q832" i="1"/>
  <c r="R482" i="1"/>
  <c r="Q359" i="1"/>
  <c r="V257" i="1"/>
  <c r="R678" i="1"/>
  <c r="R459" i="1"/>
  <c r="S805" i="1"/>
  <c r="V445" i="1"/>
  <c r="S621" i="1"/>
  <c r="V374" i="1"/>
  <c r="T657" i="1"/>
  <c r="U472" i="1"/>
  <c r="R759" i="1"/>
  <c r="U428" i="1"/>
  <c r="W370" i="1"/>
  <c r="Q1047" i="1"/>
  <c r="R345" i="1"/>
  <c r="S858" i="1"/>
  <c r="Q917" i="1"/>
  <c r="P595" i="1"/>
  <c r="P272" i="1"/>
  <c r="U630" i="1"/>
  <c r="T624" i="1"/>
  <c r="Q36" i="1"/>
  <c r="U632" i="1"/>
  <c r="T49" i="1"/>
  <c r="Q162" i="1"/>
  <c r="T459" i="1"/>
  <c r="V93" i="1"/>
  <c r="T803" i="1"/>
  <c r="R473" i="1"/>
  <c r="U691" i="1"/>
  <c r="Q468" i="1"/>
  <c r="Q185" i="1"/>
  <c r="R807" i="1"/>
  <c r="S60" i="1"/>
  <c r="P784" i="1"/>
  <c r="S506" i="1"/>
  <c r="Q1016" i="1"/>
  <c r="U70" i="1"/>
  <c r="W451" i="1"/>
  <c r="U467" i="1"/>
  <c r="R611" i="1"/>
  <c r="R274" i="1"/>
  <c r="Q669" i="1"/>
  <c r="Q744" i="1"/>
  <c r="R60" i="1"/>
  <c r="W91" i="1"/>
  <c r="Q679" i="1"/>
  <c r="T363" i="1"/>
  <c r="Q346" i="1"/>
  <c r="T773" i="1"/>
  <c r="T252" i="1"/>
  <c r="T362" i="1"/>
  <c r="R600" i="1"/>
  <c r="T900" i="1"/>
  <c r="P438" i="1"/>
  <c r="S555" i="1"/>
  <c r="V714" i="1"/>
  <c r="W537" i="1"/>
  <c r="R279" i="1"/>
  <c r="W200" i="1"/>
  <c r="S569" i="1"/>
  <c r="T43" i="1"/>
  <c r="P491" i="1"/>
  <c r="P343" i="1"/>
  <c r="R892" i="1"/>
  <c r="P634" i="1"/>
  <c r="W445" i="1"/>
  <c r="Q248" i="1"/>
  <c r="T61" i="1"/>
  <c r="Q97" i="1"/>
  <c r="T302" i="1"/>
  <c r="W652" i="1"/>
  <c r="P399" i="1"/>
  <c r="R156" i="1"/>
  <c r="S258" i="1"/>
  <c r="Q637" i="1"/>
  <c r="R964" i="1"/>
  <c r="W386" i="1"/>
  <c r="T460" i="1"/>
  <c r="W631" i="1"/>
  <c r="S286" i="1"/>
  <c r="U679" i="1"/>
  <c r="W6" i="1"/>
  <c r="W371" i="1"/>
  <c r="S157" i="1"/>
  <c r="T281" i="1"/>
  <c r="T497" i="1"/>
  <c r="U80" i="1"/>
  <c r="T792" i="1"/>
  <c r="V589" i="1"/>
  <c r="W674" i="1"/>
  <c r="W432" i="1"/>
  <c r="R221" i="1"/>
  <c r="P881" i="1"/>
  <c r="U165" i="1"/>
  <c r="R393" i="1"/>
  <c r="U356" i="1"/>
  <c r="S524" i="1"/>
  <c r="R724" i="1"/>
  <c r="P840" i="1"/>
  <c r="S211" i="1"/>
  <c r="R608" i="1"/>
  <c r="Q11" i="1"/>
  <c r="R288" i="1"/>
  <c r="R451" i="1"/>
  <c r="S280" i="1"/>
  <c r="Q177" i="1"/>
  <c r="Q568" i="1"/>
  <c r="R116" i="1"/>
  <c r="R185" i="1"/>
  <c r="P677" i="1"/>
  <c r="P469" i="1"/>
  <c r="R952" i="1"/>
  <c r="U421" i="1"/>
  <c r="T370" i="1"/>
  <c r="W169" i="1"/>
  <c r="P571" i="1"/>
  <c r="S137" i="1"/>
  <c r="P441" i="1"/>
  <c r="P843" i="1"/>
  <c r="S253" i="1"/>
  <c r="P95" i="1"/>
  <c r="S373" i="1"/>
  <c r="V709" i="1"/>
  <c r="U183" i="1"/>
  <c r="T122" i="1"/>
  <c r="U215" i="1"/>
  <c r="R749" i="1"/>
  <c r="Q660" i="1"/>
  <c r="V449" i="1"/>
  <c r="T550" i="1"/>
  <c r="R668" i="1"/>
  <c r="S121" i="1"/>
  <c r="P657" i="1"/>
  <c r="Q728" i="1"/>
  <c r="W403" i="1"/>
  <c r="W380" i="1"/>
  <c r="Q759" i="1"/>
  <c r="U212" i="1"/>
  <c r="R432" i="1"/>
  <c r="S146" i="1"/>
  <c r="T520" i="1"/>
  <c r="U453" i="1"/>
  <c r="S920" i="1"/>
  <c r="U264" i="1"/>
  <c r="Q306" i="1"/>
  <c r="V731" i="1"/>
  <c r="P838" i="1"/>
  <c r="T621" i="1"/>
  <c r="P875" i="1"/>
  <c r="U484" i="1"/>
  <c r="R1017" i="1"/>
  <c r="V176" i="1"/>
  <c r="V112" i="1"/>
  <c r="V518" i="1"/>
  <c r="W581" i="1"/>
  <c r="Q930" i="1"/>
  <c r="U341" i="1"/>
  <c r="R374" i="1"/>
  <c r="P354" i="1"/>
  <c r="Q879" i="1"/>
  <c r="R1021" i="1"/>
  <c r="T196" i="1"/>
  <c r="W377" i="1"/>
  <c r="R171" i="1"/>
  <c r="P1021" i="1"/>
  <c r="W462" i="1"/>
  <c r="W546" i="1"/>
  <c r="Q646" i="1"/>
  <c r="Q415" i="1"/>
  <c r="R505" i="1"/>
  <c r="T699" i="1"/>
  <c r="S102" i="1"/>
  <c r="S504" i="1"/>
  <c r="P944" i="1"/>
  <c r="S925" i="1"/>
  <c r="U71" i="1"/>
  <c r="Q739" i="1"/>
  <c r="R842" i="1"/>
  <c r="W676" i="1"/>
  <c r="T552" i="1"/>
  <c r="T438" i="1"/>
  <c r="S596" i="1"/>
  <c r="T584" i="1"/>
  <c r="S448" i="1"/>
  <c r="V321" i="1"/>
  <c r="V277" i="1"/>
  <c r="Q1013" i="1"/>
  <c r="S365" i="1"/>
  <c r="T823" i="1"/>
  <c r="V307" i="1"/>
  <c r="P737" i="1"/>
  <c r="U696" i="1"/>
  <c r="T846" i="1"/>
  <c r="W495" i="1"/>
  <c r="S700" i="1"/>
  <c r="T612" i="1"/>
  <c r="V188" i="1"/>
  <c r="R1027" i="1"/>
  <c r="T437" i="1"/>
  <c r="P525" i="1"/>
  <c r="S391" i="1"/>
  <c r="Q697" i="1"/>
  <c r="R433" i="1"/>
  <c r="S481" i="1"/>
  <c r="T720" i="1"/>
  <c r="Q677" i="1"/>
  <c r="Q616" i="1"/>
  <c r="Q661" i="1"/>
  <c r="P489" i="1"/>
  <c r="T581" i="1"/>
  <c r="P868" i="1"/>
  <c r="S862" i="1"/>
  <c r="W624" i="1"/>
  <c r="R182" i="1"/>
  <c r="U674" i="1"/>
  <c r="V737" i="1"/>
  <c r="T974" i="1"/>
  <c r="R780" i="1"/>
  <c r="R645" i="1"/>
  <c r="R754" i="1"/>
  <c r="S942" i="1"/>
  <c r="R439" i="1"/>
  <c r="R640" i="1"/>
  <c r="U347" i="1"/>
  <c r="P777" i="1"/>
  <c r="S325" i="1"/>
  <c r="R882" i="1"/>
  <c r="W625" i="1"/>
  <c r="W443" i="1"/>
  <c r="V38" i="1"/>
  <c r="P413" i="1"/>
  <c r="V525" i="1"/>
  <c r="Q803" i="1"/>
  <c r="V133" i="1"/>
  <c r="R897" i="1"/>
  <c r="V401" i="1"/>
  <c r="R827" i="1"/>
  <c r="T105" i="1"/>
  <c r="V467" i="1"/>
  <c r="Q710" i="1"/>
  <c r="Q279" i="1"/>
  <c r="T835" i="1"/>
  <c r="P675" i="1"/>
  <c r="S319" i="1"/>
  <c r="Q494" i="1"/>
  <c r="R689" i="1"/>
  <c r="P919" i="1"/>
  <c r="Q216" i="1"/>
  <c r="R303" i="1"/>
  <c r="Q314" i="1"/>
  <c r="U561" i="1"/>
  <c r="P998" i="1"/>
  <c r="Q686" i="1"/>
  <c r="S818" i="1"/>
  <c r="P631" i="1"/>
  <c r="V148" i="1"/>
  <c r="R1035" i="1"/>
  <c r="T369" i="1"/>
  <c r="S290" i="1"/>
  <c r="Q284" i="1"/>
  <c r="P459" i="1"/>
  <c r="S902" i="1"/>
  <c r="U365" i="1"/>
  <c r="S774" i="1"/>
  <c r="T489" i="1"/>
  <c r="T777" i="1"/>
  <c r="W360" i="1"/>
  <c r="S725" i="1"/>
  <c r="S494" i="1"/>
  <c r="P542" i="1"/>
  <c r="U334" i="1"/>
  <c r="U34" i="1"/>
  <c r="S884" i="1"/>
  <c r="Q552" i="1"/>
  <c r="R931" i="1"/>
  <c r="P963" i="1"/>
  <c r="T247" i="1"/>
  <c r="U710" i="1"/>
  <c r="R927" i="1"/>
  <c r="Q758" i="1"/>
  <c r="V625" i="1"/>
  <c r="T631" i="1"/>
  <c r="T442" i="1"/>
  <c r="T879" i="1"/>
  <c r="V289" i="1"/>
  <c r="V481" i="1"/>
  <c r="S285" i="1"/>
  <c r="Q608" i="1"/>
  <c r="U295" i="1"/>
  <c r="V727" i="1"/>
  <c r="P960" i="1"/>
  <c r="P801" i="1"/>
  <c r="V231" i="1"/>
  <c r="U537" i="1"/>
  <c r="V201" i="1"/>
  <c r="U113" i="1"/>
  <c r="T198" i="1"/>
  <c r="P409" i="1"/>
  <c r="P964" i="1"/>
  <c r="T955" i="1"/>
  <c r="Q528" i="1"/>
  <c r="T401" i="1"/>
  <c r="V535" i="1"/>
  <c r="P779" i="1"/>
  <c r="T912" i="1"/>
  <c r="P914" i="1"/>
  <c r="T608" i="1"/>
  <c r="U379" i="1"/>
  <c r="V562" i="1"/>
  <c r="P733" i="1"/>
  <c r="S943" i="1"/>
  <c r="P1050" i="1"/>
  <c r="S639" i="1"/>
  <c r="Q297" i="1"/>
  <c r="S269" i="1"/>
  <c r="T718" i="1"/>
  <c r="S703" i="1"/>
  <c r="P1013" i="1"/>
  <c r="S841" i="1"/>
  <c r="Q636" i="1"/>
  <c r="S957" i="1"/>
  <c r="U458" i="1"/>
  <c r="U146" i="1"/>
  <c r="W43" i="1"/>
  <c r="S539" i="1"/>
  <c r="T174" i="1"/>
  <c r="R995" i="1"/>
  <c r="R660" i="1"/>
  <c r="P1051" i="1"/>
  <c r="Q766" i="1"/>
  <c r="R1036" i="1"/>
  <c r="V510" i="1"/>
  <c r="U408" i="1"/>
  <c r="R699" i="1"/>
  <c r="Q293" i="1"/>
  <c r="T563" i="1"/>
  <c r="W404" i="1"/>
  <c r="R67" i="1"/>
  <c r="T781" i="1"/>
  <c r="Q769" i="1"/>
  <c r="S580" i="1"/>
  <c r="P359" i="1"/>
  <c r="Q151" i="1"/>
  <c r="P361" i="1"/>
  <c r="S802" i="1"/>
  <c r="R476" i="1"/>
  <c r="Q897" i="1"/>
  <c r="T592" i="1"/>
  <c r="V392" i="1"/>
  <c r="S440" i="1"/>
  <c r="V457" i="1"/>
  <c r="T868" i="1"/>
  <c r="R316" i="1"/>
  <c r="S270" i="1"/>
  <c r="Q536" i="1"/>
  <c r="Q437" i="1"/>
  <c r="P222" i="1"/>
  <c r="W699" i="1"/>
  <c r="V593" i="1"/>
  <c r="Q484" i="1"/>
  <c r="P1045" i="1"/>
  <c r="T357" i="1"/>
  <c r="P219" i="1"/>
  <c r="R603" i="1"/>
  <c r="R14" i="1"/>
  <c r="T899" i="1"/>
  <c r="R226" i="1"/>
  <c r="S167" i="1"/>
  <c r="W93" i="1"/>
  <c r="R365" i="1"/>
  <c r="P368" i="1"/>
  <c r="R457" i="1"/>
  <c r="V273" i="1"/>
  <c r="Q771" i="1"/>
  <c r="P1042" i="1"/>
  <c r="Q137" i="1"/>
  <c r="T856" i="1"/>
  <c r="V690" i="1"/>
  <c r="S272" i="1"/>
  <c r="T14" i="1"/>
  <c r="Q507" i="1"/>
  <c r="Q196" i="1"/>
  <c r="T461" i="1"/>
  <c r="R560" i="1"/>
  <c r="Q215" i="1"/>
  <c r="V407" i="1"/>
  <c r="W410" i="1"/>
  <c r="P690" i="1"/>
  <c r="T391" i="1"/>
  <c r="U702" i="1"/>
  <c r="S437" i="1"/>
  <c r="U512" i="1"/>
  <c r="V634" i="1"/>
  <c r="T538" i="1"/>
  <c r="P10" i="1"/>
  <c r="W215" i="1"/>
  <c r="P83" i="1"/>
  <c r="V265" i="1"/>
  <c r="U219" i="1"/>
  <c r="R400" i="1"/>
  <c r="V462" i="1"/>
  <c r="R1026" i="1"/>
  <c r="W695" i="1"/>
  <c r="T436" i="1"/>
  <c r="W185" i="1"/>
  <c r="W568" i="1"/>
  <c r="Q428" i="1"/>
  <c r="P251" i="1"/>
  <c r="Q229" i="1"/>
  <c r="W223" i="1"/>
  <c r="U226" i="1"/>
  <c r="W254" i="1"/>
  <c r="P392" i="1"/>
  <c r="T341" i="1"/>
  <c r="T968" i="1"/>
  <c r="T775" i="1"/>
  <c r="W351" i="1"/>
  <c r="R756" i="1"/>
  <c r="S863" i="1"/>
  <c r="V669" i="1"/>
  <c r="V366" i="1"/>
  <c r="W438" i="1"/>
  <c r="S647" i="1"/>
  <c r="Q912" i="1"/>
  <c r="P870" i="1"/>
  <c r="P941" i="1"/>
  <c r="V653" i="1"/>
  <c r="R215" i="1"/>
  <c r="W541" i="1"/>
  <c r="T491" i="1"/>
  <c r="P555" i="1"/>
  <c r="P70" i="1"/>
  <c r="Q438" i="1"/>
  <c r="W384" i="1"/>
  <c r="U652" i="1"/>
  <c r="Q967" i="1"/>
  <c r="P390" i="1"/>
  <c r="P411" i="1"/>
  <c r="T322" i="1"/>
  <c r="R574" i="1"/>
  <c r="P159" i="1"/>
  <c r="Q1009" i="1"/>
  <c r="R621" i="1"/>
  <c r="Q111" i="1"/>
  <c r="U222" i="1"/>
  <c r="V212" i="1"/>
  <c r="S500" i="1"/>
  <c r="V550" i="1"/>
  <c r="U469" i="1"/>
  <c r="R261" i="1"/>
  <c r="P88" i="1"/>
  <c r="Q157" i="1"/>
  <c r="T351" i="1"/>
  <c r="P744" i="1"/>
  <c r="P79" i="1"/>
  <c r="S91" i="1"/>
  <c r="S363" i="1"/>
  <c r="V34" i="1"/>
  <c r="Q936" i="1"/>
  <c r="W103" i="1"/>
  <c r="R320" i="1"/>
  <c r="Q330" i="1"/>
  <c r="Q339" i="1"/>
  <c r="U531" i="1"/>
  <c r="P447" i="1"/>
  <c r="Q516" i="1"/>
  <c r="P841" i="1"/>
  <c r="Q761" i="1"/>
  <c r="P172" i="1"/>
  <c r="W506" i="1"/>
  <c r="S281" i="1"/>
  <c r="T140" i="1"/>
  <c r="V701" i="1"/>
  <c r="R260" i="1"/>
  <c r="Q715" i="1"/>
  <c r="Q143" i="1"/>
  <c r="W118" i="1"/>
  <c r="T863" i="1"/>
  <c r="P139" i="1"/>
  <c r="S769" i="1"/>
  <c r="Q806" i="1"/>
  <c r="Q789" i="1"/>
  <c r="U381" i="1"/>
  <c r="T906" i="1"/>
  <c r="P741" i="1"/>
  <c r="W232" i="1"/>
  <c r="Q600" i="1"/>
  <c r="S614" i="1"/>
  <c r="P69" i="1"/>
  <c r="T11" i="1"/>
  <c r="T137" i="1"/>
  <c r="W317" i="1"/>
  <c r="W387" i="1"/>
  <c r="T423" i="1"/>
  <c r="R385" i="1"/>
  <c r="T321" i="1"/>
  <c r="V246" i="1"/>
  <c r="V166" i="1"/>
  <c r="U526" i="1"/>
  <c r="V95" i="1"/>
  <c r="Q138" i="1"/>
  <c r="R619" i="1"/>
  <c r="S1053" i="1"/>
  <c r="P184" i="1"/>
  <c r="T421" i="1"/>
  <c r="R851" i="1"/>
  <c r="W141" i="1"/>
  <c r="V423" i="1"/>
  <c r="P534" i="1"/>
  <c r="P315" i="1"/>
  <c r="Q266" i="1"/>
  <c r="R246" i="1"/>
  <c r="P748" i="1"/>
  <c r="U87" i="1"/>
  <c r="V239" i="1"/>
  <c r="T727" i="1"/>
  <c r="S625" i="1"/>
  <c r="S98" i="1"/>
  <c r="S669" i="1"/>
  <c r="T358" i="1"/>
  <c r="P924" i="1"/>
  <c r="V213" i="1"/>
  <c r="W415" i="1"/>
  <c r="Q98" i="1"/>
  <c r="V453" i="1"/>
  <c r="R521" i="1"/>
  <c r="P811" i="1"/>
  <c r="S649" i="1"/>
  <c r="P81" i="1"/>
  <c r="U206" i="1"/>
  <c r="R984" i="1"/>
  <c r="T340" i="1"/>
  <c r="T260" i="1"/>
  <c r="S1038" i="1"/>
  <c r="R465" i="1"/>
  <c r="V547" i="1"/>
  <c r="S1012" i="1"/>
  <c r="Q390" i="1"/>
  <c r="U615" i="1"/>
  <c r="T56" i="1"/>
  <c r="T758" i="1"/>
  <c r="P818" i="1"/>
  <c r="R89" i="1"/>
  <c r="S311" i="1"/>
  <c r="T1003" i="1"/>
  <c r="R912" i="1"/>
  <c r="S575" i="1"/>
  <c r="T490" i="1"/>
  <c r="P161" i="1"/>
  <c r="S924" i="1"/>
  <c r="T705" i="1"/>
  <c r="P925" i="1"/>
  <c r="T63" i="1"/>
  <c r="P929" i="1"/>
  <c r="R302" i="1"/>
  <c r="P778" i="1"/>
  <c r="W233" i="1"/>
  <c r="T313" i="1"/>
  <c r="P116" i="1"/>
  <c r="U715" i="1"/>
  <c r="R701" i="1"/>
  <c r="W253" i="1"/>
  <c r="Q968" i="1"/>
  <c r="P134" i="1"/>
  <c r="T443" i="1"/>
  <c r="V677" i="1"/>
  <c r="T642" i="1"/>
  <c r="R140" i="1"/>
  <c r="T790" i="1"/>
  <c r="T375" i="1"/>
  <c r="T406" i="1"/>
  <c r="R547" i="1"/>
  <c r="V4" i="1"/>
  <c r="S226" i="1"/>
  <c r="P812" i="1"/>
  <c r="S410" i="1"/>
  <c r="S631" i="1"/>
  <c r="U402" i="1"/>
  <c r="T499" i="1"/>
  <c r="T70" i="1"/>
  <c r="U168" i="1"/>
  <c r="V356" i="1"/>
  <c r="T447" i="1"/>
  <c r="R741" i="1"/>
  <c r="Q763" i="1"/>
  <c r="T679" i="1"/>
  <c r="V427" i="1"/>
  <c r="Q84" i="1"/>
  <c r="Q473" i="1"/>
  <c r="V572" i="1"/>
  <c r="U562" i="1"/>
  <c r="P564" i="1"/>
  <c r="V157" i="1"/>
  <c r="R462" i="1"/>
  <c r="Q412" i="1"/>
  <c r="W583" i="1"/>
  <c r="R786" i="1"/>
  <c r="S873" i="1"/>
  <c r="T1000" i="1"/>
  <c r="R248" i="1"/>
  <c r="P661" i="1"/>
  <c r="T514" i="1"/>
  <c r="V658" i="1"/>
  <c r="U310" i="1"/>
  <c r="V517" i="1"/>
  <c r="S723" i="1"/>
  <c r="T425" i="1"/>
  <c r="Q307" i="1"/>
  <c r="T300" i="1"/>
  <c r="R411" i="1"/>
  <c r="V298" i="1"/>
  <c r="R209" i="1"/>
  <c r="V411" i="1"/>
  <c r="W338" i="1"/>
  <c r="U208" i="1"/>
  <c r="P956" i="1"/>
  <c r="P538" i="1"/>
  <c r="S277" i="1"/>
  <c r="U90" i="1"/>
  <c r="R498" i="1"/>
  <c r="U152" i="1"/>
  <c r="S46" i="1"/>
  <c r="Q886" i="1"/>
  <c r="W41" i="1"/>
  <c r="W400" i="1"/>
  <c r="R478" i="1"/>
  <c r="T701" i="1"/>
  <c r="P581" i="1"/>
  <c r="T915" i="1"/>
  <c r="P363" i="1"/>
  <c r="T109" i="1"/>
  <c r="Q360" i="1"/>
  <c r="V488" i="1"/>
  <c r="S327" i="1"/>
  <c r="S138" i="1"/>
  <c r="V623" i="1"/>
  <c r="P202" i="1"/>
  <c r="P539" i="1"/>
  <c r="R233" i="1"/>
  <c r="P9" i="1"/>
  <c r="R1013" i="1"/>
  <c r="P640" i="1"/>
  <c r="R49" i="1"/>
  <c r="Q455" i="1"/>
  <c r="W620" i="1"/>
  <c r="P918" i="1"/>
  <c r="S985" i="1"/>
  <c r="T541" i="1"/>
  <c r="T118" i="1"/>
  <c r="S868" i="1"/>
  <c r="P456" i="1"/>
  <c r="U410" i="1"/>
  <c r="R595" i="1"/>
  <c r="V555" i="1"/>
  <c r="P647" i="1"/>
  <c r="Q60" i="1"/>
  <c r="V396" i="1"/>
  <c r="T736" i="1"/>
  <c r="R654" i="1"/>
  <c r="W712" i="1"/>
  <c r="R440" i="1"/>
  <c r="P570" i="1"/>
  <c r="R154" i="1"/>
  <c r="R321" i="1"/>
  <c r="R682" i="1"/>
  <c r="P135" i="1"/>
  <c r="T484" i="1"/>
  <c r="U207" i="1"/>
  <c r="S263" i="1"/>
  <c r="Q522" i="1"/>
  <c r="U709" i="1"/>
  <c r="T71" i="1"/>
  <c r="T626" i="1"/>
  <c r="Q77" i="1"/>
  <c r="T451" i="1"/>
  <c r="R488" i="1"/>
  <c r="S178" i="1"/>
  <c r="W40" i="1"/>
  <c r="Q506" i="1"/>
  <c r="U431" i="1"/>
  <c r="V233" i="1"/>
  <c r="Q90" i="1"/>
  <c r="W707" i="1"/>
  <c r="W119" i="1"/>
  <c r="T243" i="1"/>
  <c r="R436" i="1"/>
  <c r="R691" i="1"/>
  <c r="R1015" i="1"/>
  <c r="T837" i="1"/>
  <c r="U307" i="1"/>
  <c r="W501" i="1"/>
  <c r="T617" i="1"/>
  <c r="S187" i="1"/>
  <c r="U125" i="1"/>
  <c r="U688" i="1"/>
  <c r="R403" i="1"/>
  <c r="U246" i="1"/>
  <c r="T738" i="1"/>
  <c r="Q1040" i="1"/>
  <c r="R103" i="1"/>
  <c r="S420" i="1"/>
  <c r="V703" i="1"/>
  <c r="Q106" i="1"/>
  <c r="V361" i="1"/>
  <c r="T60" i="1"/>
  <c r="U672" i="1"/>
  <c r="R991" i="1"/>
  <c r="S715" i="1"/>
  <c r="P807" i="1"/>
  <c r="P246" i="1"/>
  <c r="U587" i="1"/>
  <c r="T559" i="1"/>
  <c r="P85" i="1"/>
  <c r="P264" i="1"/>
  <c r="P513" i="1"/>
  <c r="Q457" i="1"/>
  <c r="U257" i="1"/>
  <c r="R1030" i="1"/>
  <c r="W601" i="1"/>
  <c r="S939" i="1"/>
  <c r="U274" i="1"/>
  <c r="S854" i="1"/>
  <c r="T993" i="1"/>
  <c r="R526" i="1"/>
  <c r="V435" i="1"/>
  <c r="T944" i="1"/>
  <c r="S335" i="1"/>
  <c r="P768" i="1"/>
  <c r="T84" i="1"/>
  <c r="P445" i="1"/>
  <c r="P825" i="1"/>
  <c r="T565" i="1"/>
  <c r="T36" i="1"/>
  <c r="U601" i="1"/>
  <c r="T616" i="1"/>
  <c r="Q883" i="1"/>
  <c r="R337" i="1"/>
  <c r="T221" i="1"/>
  <c r="S511" i="1"/>
  <c r="U591" i="1"/>
  <c r="V670" i="1"/>
  <c r="Q471" i="1"/>
  <c r="S422" i="1"/>
  <c r="W656" i="1"/>
  <c r="P352" i="1"/>
  <c r="Q854" i="1"/>
  <c r="U405" i="1"/>
  <c r="S572" i="1"/>
  <c r="U642" i="1"/>
  <c r="Q567" i="1"/>
  <c r="T432" i="1"/>
  <c r="U261" i="1"/>
  <c r="P797" i="1"/>
  <c r="S79" i="1"/>
  <c r="U536" i="1"/>
  <c r="Q862" i="1"/>
  <c r="P519" i="1"/>
  <c r="W582" i="1"/>
  <c r="U581" i="1"/>
  <c r="Q365" i="1"/>
  <c r="T144" i="1"/>
  <c r="W340" i="1"/>
  <c r="S789" i="1"/>
  <c r="P72" i="1"/>
  <c r="T715" i="1"/>
  <c r="S353" i="1"/>
  <c r="P105" i="1"/>
  <c r="T102" i="1"/>
  <c r="T680" i="1"/>
  <c r="S324" i="1"/>
  <c r="V474" i="1"/>
  <c r="W143" i="1"/>
  <c r="V207" i="1"/>
  <c r="Q302" i="1"/>
  <c r="W86" i="1"/>
  <c r="W558" i="1"/>
  <c r="S243" i="1"/>
  <c r="P234" i="1"/>
  <c r="R956" i="1"/>
  <c r="Q825" i="1"/>
  <c r="R242" i="1"/>
  <c r="Q169" i="1"/>
  <c r="W180" i="1"/>
  <c r="Q303" i="1"/>
  <c r="S240" i="1"/>
  <c r="W189" i="1"/>
  <c r="V479" i="1"/>
  <c r="Q142" i="1"/>
  <c r="U372" i="1"/>
  <c r="R33" i="1"/>
  <c r="P387" i="1"/>
  <c r="V494" i="1"/>
  <c r="U654" i="1"/>
  <c r="U177" i="1"/>
  <c r="Q33" i="1"/>
  <c r="P796" i="1"/>
  <c r="T852" i="1"/>
  <c r="V196" i="1"/>
  <c r="W698" i="1"/>
  <c r="T134" i="1"/>
  <c r="R111" i="1"/>
  <c r="W352" i="1"/>
  <c r="W322" i="1"/>
  <c r="P612" i="1"/>
  <c r="W314" i="1"/>
  <c r="U47" i="1"/>
  <c r="S195" i="1"/>
  <c r="T329" i="1"/>
  <c r="T932" i="1"/>
  <c r="T737" i="1"/>
  <c r="R983" i="1"/>
  <c r="S780" i="1"/>
  <c r="Q427" i="1"/>
  <c r="T299" i="1"/>
  <c r="P151" i="1"/>
  <c r="R644" i="1"/>
  <c r="S787" i="1"/>
  <c r="S7" i="1"/>
  <c r="Q113" i="1"/>
  <c r="W10" i="1"/>
  <c r="R844" i="1"/>
  <c r="T480" i="1"/>
  <c r="V667" i="1"/>
  <c r="U554" i="1"/>
  <c r="R207" i="1"/>
  <c r="T415" i="1"/>
  <c r="W246" i="1"/>
  <c r="W672" i="1"/>
  <c r="S875" i="1"/>
  <c r="U611" i="1"/>
  <c r="U5" i="1"/>
  <c r="Q12" i="1"/>
  <c r="R319" i="1"/>
  <c r="R883" i="1"/>
  <c r="W255" i="1"/>
  <c r="U62" i="1"/>
  <c r="U117" i="1"/>
  <c r="U140" i="1"/>
  <c r="R218" i="1"/>
  <c r="U157" i="1"/>
  <c r="W307" i="1"/>
  <c r="Q713" i="1"/>
  <c r="Q632" i="1"/>
  <c r="U555" i="1"/>
  <c r="P1004" i="1"/>
  <c r="T440" i="1"/>
  <c r="Q71" i="1"/>
  <c r="S633" i="1"/>
  <c r="S705" i="1"/>
  <c r="W283" i="1"/>
  <c r="Q276" i="1"/>
  <c r="R447" i="1"/>
  <c r="V648" i="1"/>
  <c r="U403" i="1"/>
  <c r="W556" i="1"/>
  <c r="R979" i="1"/>
  <c r="P451" i="1"/>
  <c r="Q61" i="1"/>
  <c r="W535" i="1"/>
  <c r="S836" i="1"/>
  <c r="P666" i="1"/>
  <c r="T672" i="1"/>
  <c r="W193" i="1"/>
  <c r="U425" i="1"/>
  <c r="R772" i="1"/>
  <c r="T553" i="1"/>
  <c r="T778" i="1"/>
  <c r="V571" i="1"/>
  <c r="T205" i="1"/>
  <c r="Q992" i="1"/>
  <c r="P229" i="1"/>
  <c r="W518" i="1"/>
  <c r="R500" i="1"/>
  <c r="R259" i="1"/>
  <c r="V551" i="1"/>
  <c r="W639" i="1"/>
  <c r="V169" i="1"/>
  <c r="P205" i="1"/>
  <c r="V303" i="1"/>
  <c r="P664" i="1"/>
  <c r="P80" i="1"/>
  <c r="V235" i="1"/>
  <c r="R186" i="1"/>
  <c r="S446" i="1"/>
  <c r="U571" i="1"/>
  <c r="Q320" i="1"/>
  <c r="P475" i="1"/>
  <c r="Q443" i="1"/>
  <c r="T76" i="1"/>
  <c r="P292" i="1"/>
  <c r="U346" i="1"/>
  <c r="S359" i="1"/>
  <c r="S527" i="1"/>
  <c r="S105" i="1"/>
  <c r="V552" i="1"/>
  <c r="U40" i="1"/>
  <c r="P192" i="1"/>
  <c r="W548" i="1"/>
  <c r="S162" i="1"/>
  <c r="Q695" i="1"/>
  <c r="W343" i="1"/>
  <c r="V64" i="1"/>
  <c r="P180" i="1"/>
  <c r="P1001" i="1"/>
  <c r="S1037" i="1"/>
  <c r="S139" i="1"/>
  <c r="P187" i="1"/>
  <c r="S877" i="1"/>
  <c r="R414" i="1"/>
  <c r="U389" i="1"/>
  <c r="U481" i="1"/>
  <c r="V335" i="1"/>
  <c r="P302" i="1"/>
  <c r="W242" i="1"/>
  <c r="T693" i="1"/>
  <c r="U76" i="1"/>
  <c r="S675" i="1"/>
  <c r="Q323" i="1"/>
  <c r="S719" i="1"/>
  <c r="Q240" i="1"/>
  <c r="Q356" i="1"/>
  <c r="U502" i="1"/>
  <c r="T123" i="1"/>
  <c r="W123" i="1"/>
  <c r="T319" i="1"/>
  <c r="S742" i="1"/>
  <c r="W621" i="1"/>
  <c r="Q681" i="1"/>
  <c r="Q477" i="1"/>
  <c r="Q718" i="1"/>
  <c r="T409" i="1"/>
  <c r="W341" i="1"/>
  <c r="W349" i="1"/>
  <c r="P414" i="1"/>
  <c r="R45" i="1"/>
  <c r="U39" i="1"/>
  <c r="U626" i="1"/>
  <c r="V35" i="1"/>
  <c r="R558" i="1"/>
  <c r="Q92" i="1"/>
  <c r="P275" i="1"/>
  <c r="U422" i="1"/>
  <c r="W163" i="1"/>
  <c r="P730" i="1"/>
  <c r="T330" i="1"/>
  <c r="R307" i="1"/>
  <c r="V387" i="1"/>
  <c r="S648" i="1"/>
  <c r="V310" i="1"/>
  <c r="P579" i="1"/>
  <c r="U373" i="1"/>
  <c r="Q559" i="1"/>
  <c r="V497" i="1"/>
  <c r="Q243" i="1"/>
  <c r="P551" i="1"/>
  <c r="U528" i="1"/>
  <c r="Q294" i="1"/>
  <c r="R656" i="1"/>
  <c r="R241" i="1"/>
  <c r="W301" i="1"/>
  <c r="T494" i="1"/>
  <c r="S402" i="1"/>
  <c r="V484" i="1"/>
  <c r="R734" i="1"/>
  <c r="P431" i="1"/>
  <c r="V406" i="1"/>
  <c r="W207" i="1"/>
  <c r="Q194" i="1"/>
  <c r="P214" i="1"/>
  <c r="V224" i="1"/>
  <c r="U588" i="1"/>
  <c r="R665" i="1"/>
  <c r="U304" i="1"/>
  <c r="Q380" i="1"/>
  <c r="T79" i="1"/>
  <c r="R474" i="1"/>
  <c r="T257" i="1"/>
  <c r="Q535" i="1"/>
  <c r="R213" i="1"/>
  <c r="W533" i="1"/>
  <c r="P1003" i="1"/>
  <c r="Q188" i="1"/>
  <c r="P115" i="1"/>
  <c r="Q868" i="1"/>
  <c r="S704" i="1"/>
  <c r="S130" i="1"/>
  <c r="V580" i="1"/>
  <c r="P587" i="1"/>
  <c r="Q139" i="1"/>
  <c r="R674" i="1"/>
  <c r="R812" i="1"/>
  <c r="R310" i="1"/>
  <c r="T444" i="1"/>
  <c r="R204" i="1"/>
  <c r="W489" i="1"/>
  <c r="T957" i="1"/>
  <c r="T190" i="1"/>
  <c r="U514" i="1"/>
  <c r="Q480" i="1"/>
  <c r="P171" i="1"/>
  <c r="P285" i="1"/>
  <c r="V420" i="1"/>
  <c r="W469" i="1"/>
  <c r="R179" i="1"/>
  <c r="P286" i="1"/>
  <c r="P524" i="1"/>
  <c r="P936" i="1"/>
  <c r="U412" i="1"/>
  <c r="S361" i="1"/>
  <c r="T573" i="1"/>
  <c r="T207" i="1"/>
  <c r="V403" i="1"/>
  <c r="Q335" i="1"/>
  <c r="T286" i="1"/>
  <c r="U154" i="1"/>
  <c r="R834" i="1"/>
  <c r="W234" i="1"/>
  <c r="T67" i="1"/>
  <c r="Q237" i="1"/>
  <c r="V328" i="1"/>
  <c r="R304" i="1"/>
  <c r="Q431" i="1"/>
  <c r="S374" i="1"/>
  <c r="V48" i="1"/>
  <c r="W311" i="1"/>
  <c r="W77" i="1"/>
  <c r="R90" i="1"/>
  <c r="R160" i="1"/>
  <c r="U370" i="1"/>
  <c r="W156" i="1"/>
  <c r="U41" i="1"/>
  <c r="Q251" i="1"/>
  <c r="T539" i="1"/>
  <c r="Q998" i="1"/>
  <c r="W37" i="1"/>
  <c r="P547" i="1"/>
  <c r="S400" i="1"/>
  <c r="P558" i="1"/>
  <c r="R347" i="1"/>
  <c r="T743" i="1"/>
  <c r="Q233" i="1"/>
  <c r="W516" i="1"/>
  <c r="R670" i="1"/>
  <c r="V269" i="1"/>
  <c r="Q656" i="1"/>
  <c r="W136" i="1"/>
  <c r="W36" i="1"/>
  <c r="W593" i="1"/>
  <c r="Q88" i="1"/>
  <c r="S928" i="1"/>
  <c r="V143" i="1"/>
  <c r="P332" i="1"/>
  <c r="T636" i="1"/>
  <c r="Q324" i="1"/>
  <c r="Q271" i="1"/>
  <c r="T650" i="1"/>
  <c r="P75" i="1"/>
  <c r="T640" i="1"/>
  <c r="U151" i="1"/>
  <c r="P434" i="1"/>
  <c r="T466" i="1"/>
  <c r="W327" i="1"/>
  <c r="W216" i="1"/>
  <c r="W599" i="1"/>
  <c r="R399" i="1"/>
  <c r="Q141" i="1"/>
  <c r="P306" i="1"/>
  <c r="P113" i="1"/>
  <c r="P676" i="1"/>
  <c r="R599" i="1"/>
  <c r="T59" i="1"/>
  <c r="T398" i="1"/>
  <c r="S636" i="1"/>
  <c r="T757" i="1"/>
  <c r="R376" i="1"/>
  <c r="Q518" i="1"/>
  <c r="Q491" i="1"/>
  <c r="T209" i="1"/>
  <c r="P945" i="1"/>
  <c r="S1046" i="1"/>
  <c r="V55" i="1"/>
  <c r="S292" i="1"/>
  <c r="S309" i="1"/>
  <c r="S66" i="1"/>
  <c r="S80" i="1"/>
  <c r="S817" i="1"/>
  <c r="P541" i="1"/>
  <c r="T35" i="1"/>
  <c r="R446" i="1"/>
  <c r="V404" i="1"/>
  <c r="P747" i="1"/>
  <c r="Q461" i="1"/>
  <c r="Q420" i="1"/>
  <c r="V529" i="1"/>
  <c r="T994" i="1"/>
  <c r="U136" i="1"/>
  <c r="V255" i="1"/>
  <c r="R785" i="1"/>
  <c r="S766" i="1"/>
  <c r="R184" i="1"/>
  <c r="R332" i="1"/>
  <c r="W393" i="1"/>
  <c r="R711" i="1"/>
  <c r="P1032" i="1"/>
  <c r="S988" i="1"/>
  <c r="P53" i="1"/>
  <c r="R959" i="1"/>
  <c r="T143" i="1"/>
  <c r="W239" i="1"/>
  <c r="R255" i="1"/>
  <c r="Q14" i="1"/>
  <c r="U258" i="1"/>
  <c r="R594" i="1"/>
  <c r="R442" i="1"/>
  <c r="W534" i="1"/>
  <c r="R408" i="1"/>
  <c r="R629" i="1"/>
  <c r="W135" i="1"/>
  <c r="Q108" i="1"/>
  <c r="U470" i="1"/>
  <c r="R934" i="1"/>
  <c r="W238" i="1"/>
  <c r="Q73" i="1"/>
  <c r="R305" i="1"/>
  <c r="T158" i="1"/>
  <c r="Q935" i="1"/>
  <c r="T183" i="1"/>
  <c r="R70" i="1"/>
  <c r="Q1041" i="1"/>
  <c r="T702" i="1"/>
  <c r="T709" i="1"/>
  <c r="W269" i="1"/>
  <c r="P494" i="1"/>
  <c r="S86" i="1"/>
  <c r="Q342" i="1"/>
  <c r="T277" i="1"/>
  <c r="T826" i="1"/>
  <c r="P917" i="1"/>
  <c r="R117" i="1"/>
  <c r="U694" i="1"/>
  <c r="U608" i="1"/>
  <c r="Q148" i="1"/>
  <c r="S214" i="1"/>
  <c r="P336" i="1"/>
  <c r="P862" i="1"/>
  <c r="R151" i="1"/>
  <c r="V679" i="1"/>
  <c r="W14" i="1"/>
  <c r="S53" i="1"/>
  <c r="R293" i="1"/>
  <c r="V187" i="1"/>
  <c r="V287" i="1"/>
  <c r="T889" i="1"/>
  <c r="T570" i="1"/>
  <c r="T537" i="1"/>
  <c r="P276" i="1"/>
  <c r="U633" i="1"/>
  <c r="V47" i="1"/>
  <c r="V282" i="1"/>
  <c r="V57" i="1"/>
  <c r="U527" i="1"/>
  <c r="P78" i="1"/>
  <c r="P55" i="1"/>
  <c r="S622" i="1"/>
  <c r="R910" i="1"/>
  <c r="V546" i="1"/>
  <c r="V498" i="1"/>
  <c r="U221" i="1"/>
  <c r="R522" i="1"/>
  <c r="W94" i="1"/>
  <c r="P419" i="1"/>
  <c r="S427" i="1"/>
  <c r="T352" i="1"/>
  <c r="V448" i="1"/>
  <c r="Q1011" i="1"/>
  <c r="V632" i="1"/>
  <c r="P735" i="1"/>
  <c r="Q596" i="1"/>
  <c r="Q58" i="1"/>
  <c r="U398" i="1"/>
  <c r="S853" i="1"/>
  <c r="S239" i="1"/>
  <c r="W166" i="1"/>
  <c r="S482" i="1"/>
  <c r="S475" i="1"/>
  <c r="S623" i="1"/>
  <c r="W346" i="1"/>
  <c r="P200" i="1"/>
  <c r="V410" i="1"/>
  <c r="R59" i="1"/>
  <c r="R401" i="1"/>
  <c r="Q734" i="1"/>
  <c r="P129" i="1"/>
  <c r="T950" i="1"/>
  <c r="W713" i="1"/>
  <c r="P949" i="1"/>
  <c r="S913" i="1"/>
  <c r="U599" i="1"/>
  <c r="Q315" i="1"/>
  <c r="W293" i="1"/>
  <c r="T385" i="1"/>
  <c r="R1008" i="1"/>
  <c r="Q693" i="1"/>
  <c r="P618" i="1"/>
  <c r="V697" i="1"/>
  <c r="U499" i="1"/>
  <c r="P304" i="1"/>
  <c r="P163" i="1"/>
  <c r="P660" i="1"/>
  <c r="Q436" i="1"/>
  <c r="U100" i="1"/>
  <c r="W151" i="1"/>
  <c r="Q171" i="1"/>
  <c r="P1029" i="1"/>
  <c r="T97" i="1"/>
  <c r="U452" i="1"/>
  <c r="U363" i="1"/>
  <c r="Q75" i="1"/>
  <c r="S974" i="1"/>
  <c r="P289" i="1"/>
  <c r="S169" i="1"/>
  <c r="R34" i="1"/>
  <c r="P158" i="1"/>
  <c r="W577" i="1"/>
  <c r="T225" i="1"/>
  <c r="W669" i="1"/>
  <c r="V478" i="1"/>
  <c r="S252" i="1"/>
  <c r="S522" i="1"/>
  <c r="W426" i="1"/>
  <c r="Q6" i="1"/>
  <c r="Q245" i="1"/>
  <c r="W50" i="1"/>
  <c r="W414" i="1"/>
  <c r="W176" i="1"/>
  <c r="P788" i="1"/>
  <c r="T479" i="1"/>
  <c r="R145" i="1"/>
  <c r="Q292" i="1"/>
  <c r="S714" i="1"/>
  <c r="P709" i="1"/>
  <c r="S397" i="1"/>
  <c r="W409" i="1"/>
  <c r="U530" i="1"/>
  <c r="W686" i="1"/>
  <c r="R219" i="1"/>
  <c r="S39" i="1"/>
  <c r="S792" i="1"/>
  <c r="P683" i="1"/>
  <c r="W619" i="1"/>
  <c r="S241" i="1"/>
  <c r="Q798" i="1"/>
  <c r="U529" i="1"/>
  <c r="T318" i="1"/>
  <c r="T599" i="1"/>
  <c r="P899" i="1"/>
  <c r="P118" i="1"/>
  <c r="W715" i="1"/>
  <c r="P111" i="1"/>
  <c r="U677" i="1"/>
  <c r="S40" i="1"/>
  <c r="R491" i="1"/>
  <c r="T267" i="1"/>
  <c r="W497" i="1"/>
  <c r="S950" i="1"/>
  <c r="R343" i="1"/>
  <c r="S945" i="1"/>
  <c r="P280" i="1"/>
  <c r="S826" i="1"/>
  <c r="T81" i="1"/>
  <c r="S45" i="1"/>
  <c r="S348" i="1"/>
  <c r="V663" i="1"/>
  <c r="R240" i="1"/>
  <c r="R52" i="1"/>
  <c r="V228" i="1"/>
  <c r="U483" i="1"/>
  <c r="R249" i="1"/>
  <c r="R1018" i="1"/>
  <c r="V350" i="1"/>
  <c r="P453" i="1"/>
  <c r="W449" i="1"/>
  <c r="Q236" i="1"/>
  <c r="P220" i="1"/>
  <c r="S5" i="1"/>
  <c r="T202" i="1"/>
  <c r="R970" i="1"/>
  <c r="W711" i="1"/>
  <c r="S776" i="1"/>
  <c r="R819" i="1"/>
  <c r="W182" i="1"/>
  <c r="P824" i="1"/>
  <c r="U52" i="1"/>
  <c r="V734" i="1"/>
  <c r="T62" i="1"/>
  <c r="U350" i="1"/>
  <c r="T597" i="1"/>
  <c r="T979" i="1"/>
  <c r="S371" i="1"/>
  <c r="Q716" i="1"/>
  <c r="S188" i="1"/>
  <c r="V129" i="1"/>
  <c r="Q241" i="1"/>
  <c r="U306" i="1"/>
  <c r="Q383" i="1"/>
  <c r="P725" i="1"/>
  <c r="V687" i="1"/>
  <c r="V379" i="1"/>
  <c r="R470" i="1"/>
  <c r="S268" i="1"/>
  <c r="V461" i="1"/>
  <c r="Q222" i="1"/>
  <c r="S152" i="1"/>
  <c r="T414" i="1"/>
  <c r="S61" i="1"/>
  <c r="R384" i="1"/>
  <c r="T201" i="1"/>
  <c r="Q123" i="1"/>
  <c r="T349" i="1"/>
  <c r="P249" i="1"/>
  <c r="S560" i="1"/>
  <c r="W459" i="1"/>
  <c r="R524" i="1"/>
  <c r="U225" i="1"/>
  <c r="R598" i="1"/>
  <c r="S1009" i="1"/>
  <c r="P487" i="1"/>
  <c r="S426" i="1"/>
  <c r="Q403" i="1"/>
  <c r="T86" i="1"/>
  <c r="Q850" i="1"/>
  <c r="R15" i="1"/>
  <c r="Q402" i="1"/>
  <c r="S594" i="1"/>
  <c r="T100" i="1"/>
  <c r="S682" i="1"/>
  <c r="U490" i="1"/>
  <c r="V413" i="1"/>
  <c r="Q273" i="1"/>
  <c r="P529" i="1"/>
  <c r="T354" i="1"/>
  <c r="Q749" i="1"/>
  <c r="R37" i="1"/>
  <c r="W299" i="1"/>
  <c r="Q465" i="1"/>
  <c r="V530" i="1"/>
  <c r="W225" i="1"/>
  <c r="S839" i="1"/>
  <c r="T378" i="1"/>
  <c r="Q1007" i="1"/>
  <c r="Q373" i="1"/>
  <c r="P164" i="1"/>
  <c r="W205" i="1"/>
  <c r="U573" i="1"/>
  <c r="S929" i="1"/>
  <c r="S430" i="1"/>
  <c r="R199" i="1"/>
  <c r="Q10" i="1"/>
  <c r="S238" i="1"/>
  <c r="U249" i="1"/>
  <c r="R395" i="1"/>
  <c r="R782" i="1"/>
  <c r="R430" i="1"/>
  <c r="P892" i="1"/>
  <c r="Q199" i="1"/>
  <c r="Q235" i="1"/>
  <c r="V692" i="1"/>
  <c r="S644" i="1"/>
  <c r="R610" i="1"/>
  <c r="R264" i="1"/>
  <c r="T110" i="1"/>
  <c r="Q414" i="1"/>
  <c r="S461" i="1"/>
  <c r="R627" i="1"/>
  <c r="W167" i="1"/>
  <c r="R214" i="1"/>
  <c r="U556" i="1"/>
  <c r="W523" i="1"/>
  <c r="T585" i="1"/>
  <c r="R362" i="1"/>
  <c r="S251" i="1"/>
  <c r="P724" i="1"/>
  <c r="R803" i="1"/>
  <c r="P120" i="1"/>
  <c r="T569" i="1"/>
  <c r="R165" i="1"/>
  <c r="T146" i="1"/>
  <c r="W211" i="1"/>
  <c r="T582" i="1"/>
  <c r="S386" i="1"/>
  <c r="U475" i="1"/>
  <c r="T788" i="1"/>
  <c r="Q446" i="1"/>
  <c r="R392" i="1"/>
  <c r="S125" i="1"/>
  <c r="P44" i="1"/>
  <c r="U292" i="1"/>
  <c r="V322" i="1"/>
  <c r="R298" i="1"/>
  <c r="T854" i="1"/>
  <c r="T601" i="1"/>
  <c r="V375" i="1"/>
  <c r="W155" i="1"/>
  <c r="R688" i="1"/>
  <c r="S759" i="1"/>
  <c r="T53" i="1"/>
  <c r="S148" i="1"/>
  <c r="V83" i="1"/>
  <c r="W95" i="1"/>
  <c r="S124" i="1"/>
  <c r="V671" i="1"/>
  <c r="T280" i="1"/>
  <c r="W608" i="1"/>
  <c r="T675" i="1"/>
  <c r="Q183" i="1"/>
  <c r="W120" i="1"/>
  <c r="S991" i="1"/>
  <c r="Q527" i="1"/>
  <c r="V367" i="1"/>
  <c r="Q354" i="1"/>
  <c r="S350" i="1"/>
  <c r="Q160" i="1"/>
  <c r="W507" i="1"/>
  <c r="T525" i="1"/>
  <c r="P273" i="1"/>
  <c r="P655" i="1"/>
  <c r="U532" i="1"/>
  <c r="V383" i="1"/>
  <c r="Q316" i="1"/>
  <c r="R290" i="1"/>
  <c r="S15" i="1"/>
  <c r="U250" i="1"/>
  <c r="U614" i="1"/>
  <c r="Q613" i="1"/>
  <c r="S78" i="1"/>
  <c r="R504" i="1"/>
  <c r="S56" i="1"/>
  <c r="T154" i="1"/>
  <c r="T685" i="1"/>
  <c r="T700" i="1"/>
  <c r="W237" i="1"/>
  <c r="U181" i="1"/>
  <c r="R110" i="1"/>
  <c r="Q714" i="1"/>
  <c r="S411" i="1"/>
  <c r="S484" i="1"/>
  <c r="W378" i="1"/>
  <c r="R425" i="1"/>
  <c r="P610" i="1"/>
  <c r="V225" i="1"/>
  <c r="P831" i="1"/>
  <c r="P15" i="1"/>
  <c r="S607" i="1"/>
  <c r="Q298" i="1"/>
  <c r="Q889" i="1"/>
  <c r="S536" i="1"/>
  <c r="Q1045" i="1"/>
  <c r="V469" i="1"/>
  <c r="S103" i="1"/>
  <c r="V606" i="1"/>
  <c r="W493" i="1"/>
  <c r="V417" i="1"/>
  <c r="T111" i="1"/>
  <c r="U374" i="1"/>
  <c r="V320" i="1"/>
  <c r="R620" i="1"/>
  <c r="V624" i="1"/>
  <c r="R836" i="1"/>
  <c r="W226" i="1"/>
  <c r="P266" i="1"/>
  <c r="W561" i="1"/>
  <c r="R244" i="1"/>
  <c r="S312" i="1"/>
  <c r="V691" i="1"/>
  <c r="V359" i="1"/>
  <c r="R277" i="1"/>
  <c r="S650" i="1"/>
  <c r="P874" i="1"/>
  <c r="U237" i="1"/>
  <c r="R122" i="1"/>
  <c r="R396" i="1"/>
  <c r="U194" i="1"/>
  <c r="R438" i="1"/>
  <c r="R552" i="1"/>
  <c r="P607" i="1"/>
  <c r="P282" i="1"/>
  <c r="S692" i="1"/>
  <c r="T68" i="1"/>
  <c r="V189" i="1"/>
  <c r="R273" i="1"/>
  <c r="R338" i="1"/>
  <c r="S611" i="1"/>
  <c r="P496" i="1"/>
  <c r="T761" i="1"/>
  <c r="Q327" i="1"/>
  <c r="Q301" i="1"/>
  <c r="V521" i="1"/>
  <c r="S429" i="1"/>
  <c r="S13" i="1"/>
  <c r="Q540" i="1"/>
  <c r="Q450" i="1"/>
  <c r="V283" i="1"/>
  <c r="S376" i="1"/>
  <c r="U553" i="1"/>
  <c r="T250" i="1"/>
  <c r="S834" i="1"/>
  <c r="V608" i="1"/>
  <c r="W178" i="1"/>
  <c r="R469" i="1"/>
  <c r="U639" i="1"/>
  <c r="U173" i="1"/>
  <c r="Q807" i="1"/>
  <c r="Q250" i="1"/>
  <c r="V61" i="1"/>
  <c r="T587" i="1"/>
  <c r="V509" i="1"/>
  <c r="S387" i="1"/>
  <c r="W44" i="1"/>
  <c r="S58" i="1"/>
  <c r="U695" i="1"/>
  <c r="T142" i="1"/>
  <c r="U12" i="1"/>
  <c r="R808" i="1"/>
  <c r="T191" i="1"/>
  <c r="T478" i="1"/>
  <c r="U518" i="1"/>
  <c r="V97" i="1"/>
  <c r="W70" i="1"/>
  <c r="P298" i="1"/>
  <c r="R358" i="1"/>
  <c r="R81" i="1"/>
  <c r="P554" i="1"/>
  <c r="U620" i="1"/>
  <c r="P11" i="1"/>
  <c r="V242" i="1"/>
  <c r="T780" i="1"/>
  <c r="T228" i="1"/>
  <c r="V729" i="1"/>
  <c r="Q417" i="1"/>
  <c r="T348" i="1"/>
  <c r="P793" i="1"/>
  <c r="W640" i="1"/>
  <c r="Q598" i="1"/>
  <c r="P817" i="1"/>
  <c r="U506" i="1"/>
  <c r="W53" i="1"/>
  <c r="W721" i="1"/>
  <c r="T126" i="1"/>
  <c r="V41" i="1"/>
  <c r="T914" i="1"/>
  <c r="P616" i="1"/>
  <c r="W357" i="1"/>
  <c r="S93" i="1"/>
  <c r="U444" i="1"/>
  <c r="V583" i="1"/>
  <c r="S73" i="1"/>
  <c r="U68" i="1"/>
  <c r="U606" i="1"/>
  <c r="W285" i="1"/>
  <c r="Q65" i="1"/>
  <c r="V179" i="1"/>
  <c r="P376" i="1"/>
  <c r="Q751" i="1"/>
  <c r="W290" i="1"/>
  <c r="T483" i="1"/>
  <c r="Q46" i="1"/>
  <c r="S132" i="1"/>
  <c r="T276" i="1"/>
  <c r="P585" i="1"/>
  <c r="Q45" i="1"/>
  <c r="W363" i="1"/>
  <c r="W138" i="1"/>
  <c r="V318" i="1"/>
  <c r="U297" i="1"/>
  <c r="Q727" i="1"/>
  <c r="R169" i="1"/>
  <c r="T127" i="1"/>
  <c r="V620" i="1"/>
  <c r="T583" i="1"/>
  <c r="W702" i="1"/>
  <c r="P191" i="1"/>
  <c r="U187" i="1"/>
  <c r="W42" i="1"/>
  <c r="Q290" i="1"/>
  <c r="Q430" i="1"/>
  <c r="P46" i="1"/>
  <c r="R272" i="1"/>
  <c r="V138" i="1"/>
  <c r="S254" i="1"/>
  <c r="S654" i="1"/>
  <c r="W323" i="1"/>
  <c r="R170" i="1"/>
  <c r="Q150" i="1"/>
  <c r="R799" i="1"/>
  <c r="P626" i="1"/>
  <c r="W551" i="1"/>
  <c r="V319" i="1"/>
  <c r="P410" i="1"/>
  <c r="Q725" i="1"/>
  <c r="Q483" i="1"/>
  <c r="U144" i="1"/>
  <c r="W448" i="1"/>
  <c r="R769" i="1"/>
  <c r="V221" i="1"/>
  <c r="S712" i="1"/>
  <c r="R915" i="1"/>
  <c r="P14" i="1"/>
  <c r="Q743" i="1"/>
  <c r="V696" i="1"/>
  <c r="V399" i="1"/>
  <c r="S828" i="1"/>
  <c r="R306" i="1"/>
  <c r="P569" i="1"/>
  <c r="S69" i="1"/>
  <c r="R198" i="1"/>
  <c r="Q872" i="1"/>
  <c r="R721" i="1"/>
  <c r="W431" i="1"/>
  <c r="P197" i="1"/>
  <c r="Q95" i="1"/>
  <c r="W279" i="1"/>
  <c r="S486" i="1"/>
  <c r="S122" i="1"/>
  <c r="Q576" i="1"/>
  <c r="R551" i="1"/>
  <c r="T500" i="1"/>
  <c r="Q1032" i="1"/>
  <c r="W210" i="1"/>
  <c r="Q310" i="1"/>
  <c r="R245" i="1"/>
  <c r="Q786" i="1"/>
  <c r="S678" i="1"/>
  <c r="U124" i="1"/>
  <c r="S170" i="1"/>
  <c r="W38" i="1"/>
  <c r="W133" i="1"/>
  <c r="V346" i="1"/>
  <c r="Q164" i="1"/>
  <c r="U360" i="1"/>
  <c r="Q125" i="1"/>
  <c r="Q538" i="1"/>
  <c r="W297" i="1"/>
  <c r="R138" i="1"/>
  <c r="W496" i="1"/>
  <c r="U331" i="1"/>
  <c r="P859" i="1"/>
  <c r="V78" i="1"/>
  <c r="V222" i="1"/>
  <c r="P353" i="1"/>
  <c r="W408" i="1"/>
  <c r="S349" i="1"/>
  <c r="S562" i="1"/>
  <c r="Q212" i="1"/>
  <c r="S997" i="1"/>
  <c r="T57" i="1"/>
  <c r="T254" i="1"/>
  <c r="T337" i="1"/>
  <c r="V306" i="1"/>
  <c r="Q701" i="1"/>
  <c r="W550" i="1"/>
  <c r="Q545" i="1"/>
  <c r="U386" i="1"/>
  <c r="S88" i="1"/>
  <c r="W35" i="1"/>
  <c r="P984" i="1"/>
  <c r="S864" i="1"/>
  <c r="V232" i="1"/>
  <c r="V293" i="1"/>
  <c r="W66" i="1"/>
  <c r="Q202" i="1"/>
  <c r="U14" i="1"/>
  <c r="S333" i="1"/>
  <c r="Q882" i="1"/>
  <c r="S433" i="1"/>
  <c r="P74" i="1"/>
  <c r="R736" i="1"/>
  <c r="P40" i="1"/>
  <c r="T954" i="1"/>
  <c r="R157" i="1"/>
  <c r="W191" i="1"/>
  <c r="P751" i="1"/>
  <c r="R282" i="1"/>
  <c r="S414" i="1"/>
  <c r="W374" i="1"/>
  <c r="V351" i="1"/>
  <c r="Q581" i="1"/>
  <c r="U42" i="1"/>
  <c r="V598" i="1"/>
  <c r="R954" i="1"/>
  <c r="V280" i="1"/>
  <c r="V115" i="1"/>
  <c r="R454" i="1"/>
  <c r="P365" i="1"/>
  <c r="Q368" i="1"/>
  <c r="V111" i="1"/>
  <c r="T943" i="1"/>
  <c r="R340" i="1"/>
  <c r="T560" i="1"/>
  <c r="T298" i="1"/>
  <c r="P942" i="1"/>
  <c r="T764" i="1"/>
  <c r="W83" i="1"/>
  <c r="Q409" i="1"/>
  <c r="U126" i="1"/>
  <c r="S503" i="1"/>
  <c r="R237" i="1"/>
  <c r="T383" i="1"/>
  <c r="R134" i="1"/>
  <c r="T472" i="1"/>
  <c r="P347" i="1"/>
  <c r="R143" i="1"/>
  <c r="T576" i="1"/>
  <c r="P706" i="1"/>
  <c r="V523" i="1"/>
  <c r="P437" i="1"/>
  <c r="V172" i="1"/>
  <c r="V664" i="1"/>
  <c r="V122" i="1"/>
  <c r="P680" i="1"/>
  <c r="S370" i="1"/>
  <c r="Q470" i="1"/>
  <c r="W477" i="1"/>
  <c r="T151" i="1"/>
  <c r="Q83" i="1"/>
  <c r="U396" i="1"/>
  <c r="T745" i="1"/>
  <c r="P71" i="1"/>
  <c r="W365" i="1"/>
  <c r="R607" i="1"/>
  <c r="Q729" i="1"/>
  <c r="W425" i="1"/>
  <c r="V167" i="1"/>
  <c r="T387" i="1"/>
  <c r="W484" i="1"/>
  <c r="W529" i="1"/>
  <c r="W396" i="1"/>
  <c r="S331" i="1"/>
  <c r="Q299" i="1"/>
  <c r="V90" i="1"/>
  <c r="P611" i="1"/>
  <c r="W99" i="1"/>
  <c r="P67" i="1"/>
  <c r="S165" i="1"/>
  <c r="T50" i="1"/>
  <c r="U255" i="1"/>
  <c r="Q594" i="1"/>
  <c r="Q391" i="1"/>
  <c r="P967" i="1"/>
  <c r="R642" i="1"/>
  <c r="U420" i="1"/>
  <c r="S135" i="1"/>
  <c r="R82" i="1"/>
  <c r="V476" i="1"/>
  <c r="P123" i="1"/>
  <c r="S520" i="1"/>
  <c r="R945" i="1"/>
  <c r="W186" i="1"/>
  <c r="R192" i="1"/>
  <c r="U50" i="1"/>
  <c r="S10" i="1"/>
  <c r="T222" i="1"/>
  <c r="P416" i="1"/>
  <c r="T518" i="1"/>
  <c r="R653" i="1"/>
  <c r="Q136" i="1"/>
  <c r="U409" i="1"/>
  <c r="U505" i="1"/>
  <c r="R124" i="1"/>
  <c r="V105" i="1"/>
  <c r="W673" i="1"/>
  <c r="R702" i="1"/>
  <c r="T562" i="1"/>
  <c r="Q38" i="1"/>
  <c r="T309" i="1"/>
  <c r="P452" i="1"/>
  <c r="P356" i="1"/>
  <c r="R120" i="1"/>
  <c r="S288" i="1"/>
  <c r="R366" i="1"/>
  <c r="V447" i="1"/>
  <c r="S577" i="1"/>
  <c r="T368" i="1"/>
  <c r="S891" i="1"/>
  <c r="W597" i="1"/>
  <c r="P594" i="1"/>
  <c r="Q425" i="1"/>
  <c r="U186" i="1"/>
  <c r="U197" i="1"/>
  <c r="S638" i="1"/>
  <c r="V199" i="1"/>
  <c r="U548" i="1"/>
  <c r="R210" i="1"/>
  <c r="S688" i="1"/>
  <c r="R806" i="1"/>
  <c r="T90" i="1"/>
  <c r="S140" i="1"/>
  <c r="T15" i="1"/>
  <c r="Q43" i="1"/>
  <c r="S887" i="1"/>
  <c r="V70" i="1"/>
  <c r="P384" i="1"/>
  <c r="Q155" i="1"/>
  <c r="Q109" i="1"/>
  <c r="Q405" i="1"/>
  <c r="S910" i="1"/>
  <c r="Q246" i="1"/>
  <c r="S396" i="1"/>
  <c r="V736" i="1"/>
  <c r="T85" i="1"/>
  <c r="S973" i="1"/>
  <c r="Q260" i="1"/>
  <c r="W605" i="1"/>
  <c r="W128" i="1"/>
  <c r="W649" i="1"/>
  <c r="S283" i="1"/>
  <c r="Q1022" i="1"/>
  <c r="Q808" i="1"/>
  <c r="Q795" i="1"/>
  <c r="T411" i="1"/>
  <c r="Q618" i="1"/>
  <c r="T106" i="1"/>
  <c r="R54" i="1"/>
  <c r="S886" i="1"/>
  <c r="U86" i="1"/>
  <c r="S490" i="1"/>
  <c r="T793" i="1"/>
  <c r="U433" i="1"/>
  <c r="S398" i="1"/>
  <c r="R421" i="1"/>
  <c r="V251" i="1"/>
  <c r="R196" i="1"/>
  <c r="P620" i="1"/>
  <c r="U712" i="1"/>
  <c r="Q418" i="1"/>
  <c r="S1035" i="1"/>
  <c r="U13" i="1"/>
  <c r="W72" i="1"/>
  <c r="Q621" i="1"/>
  <c r="W675" i="1"/>
  <c r="W525" i="1"/>
  <c r="T306" i="1"/>
  <c r="P484" i="1"/>
  <c r="W447" i="1"/>
  <c r="R294" i="1"/>
  <c r="S83" i="1"/>
  <c r="T359" i="1"/>
  <c r="Q466" i="1"/>
  <c r="Q720" i="1"/>
  <c r="U497" i="1"/>
  <c r="U489" i="1"/>
  <c r="P39" i="1"/>
  <c r="W369" i="1"/>
  <c r="P762" i="1"/>
  <c r="S123" i="1"/>
  <c r="R153" i="1"/>
  <c r="R200" i="1"/>
  <c r="V390" i="1"/>
  <c r="P293" i="1"/>
  <c r="W596" i="1"/>
  <c r="P317" i="1"/>
  <c r="V554" i="1"/>
  <c r="W420" i="1"/>
  <c r="S480" i="1"/>
  <c r="W217" i="1"/>
  <c r="V345" i="1"/>
  <c r="T92" i="1"/>
  <c r="U133" i="1"/>
  <c r="P245" i="1"/>
  <c r="R499" i="1"/>
  <c r="Q982" i="1"/>
  <c r="Q851" i="1"/>
  <c r="S491" i="1"/>
  <c r="T663" i="1"/>
  <c r="Q219" i="1"/>
  <c r="U309" i="1"/>
  <c r="U110" i="1"/>
  <c r="P150" i="1"/>
  <c r="R673" i="1"/>
  <c r="V376" i="1"/>
  <c r="W527" i="1"/>
  <c r="V438" i="1"/>
  <c r="U57" i="1"/>
  <c r="U623" i="1"/>
  <c r="R161" i="1"/>
  <c r="Q960" i="1"/>
  <c r="Q448" i="1"/>
  <c r="V256" i="1"/>
  <c r="R377" i="1"/>
  <c r="T664" i="1"/>
  <c r="P143" i="1"/>
  <c r="Q865" i="1"/>
  <c r="R216" i="1"/>
  <c r="V234" i="1"/>
  <c r="R301" i="1"/>
  <c r="U602" i="1"/>
  <c r="T167" i="1"/>
  <c r="W132" i="1"/>
  <c r="V197" i="1"/>
  <c r="V652" i="1"/>
  <c r="U170" i="1"/>
  <c r="R75" i="1"/>
  <c r="W192" i="1"/>
  <c r="V156" i="1"/>
  <c r="R479" i="1"/>
  <c r="Q68" i="1"/>
  <c r="R276" i="1"/>
  <c r="V63" i="1"/>
  <c r="U217" i="1"/>
  <c r="W664" i="1"/>
  <c r="U357" i="1"/>
  <c r="T446" i="1"/>
  <c r="S344" i="1"/>
  <c r="Q226" i="1"/>
  <c r="S1052" i="1"/>
  <c r="U325" i="1"/>
  <c r="U93" i="1"/>
  <c r="V177" i="1"/>
  <c r="T327" i="1"/>
  <c r="S208" i="1"/>
  <c r="R538" i="1"/>
  <c r="P174" i="1"/>
  <c r="T739" i="1"/>
  <c r="W630" i="1"/>
  <c r="S435" i="1"/>
  <c r="T526" i="1"/>
  <c r="S1000" i="1"/>
  <c r="V14" i="1"/>
  <c r="T320" i="1"/>
  <c r="R750" i="1"/>
  <c r="U424" i="1"/>
  <c r="W687" i="1"/>
  <c r="W332" i="1"/>
  <c r="S112" i="1"/>
  <c r="R549" i="1"/>
  <c r="V326" i="1"/>
  <c r="V408" i="1"/>
  <c r="V160" i="1"/>
  <c r="R333" i="1"/>
  <c r="U103" i="1"/>
  <c r="V360" i="1"/>
  <c r="U521" i="1"/>
  <c r="Q206" i="1"/>
  <c r="Q691" i="1"/>
  <c r="W559" i="1"/>
  <c r="P761" i="1"/>
  <c r="W114" i="1"/>
  <c r="W268" i="1"/>
  <c r="U178" i="1"/>
  <c r="U45" i="1"/>
  <c r="S523" i="1"/>
  <c r="V136" i="1"/>
  <c r="V520" i="1"/>
  <c r="U270" i="1"/>
  <c r="P119" i="1"/>
  <c r="R167" i="1"/>
  <c r="V89" i="1"/>
  <c r="R78" i="1"/>
  <c r="S189" i="1"/>
  <c r="R68" i="1"/>
  <c r="R371" i="1"/>
  <c r="R48" i="1"/>
  <c r="W137" i="1"/>
  <c r="U326" i="1"/>
  <c r="P50" i="1"/>
  <c r="U231" i="1"/>
  <c r="P236" i="1"/>
  <c r="V700" i="1"/>
  <c r="P132" i="1"/>
  <c r="U163" i="1"/>
  <c r="V704" i="1"/>
  <c r="P721" i="1"/>
  <c r="Q370" i="1"/>
  <c r="U247" i="1"/>
  <c r="R98" i="1"/>
  <c r="V647" i="1"/>
  <c r="T278" i="1"/>
  <c r="P552" i="1"/>
  <c r="V578" i="1"/>
  <c r="W481" i="1"/>
  <c r="U229" i="1"/>
  <c r="U430" i="1"/>
  <c r="R39" i="1"/>
  <c r="V349" i="1"/>
  <c r="S447" i="1"/>
  <c r="S84" i="1"/>
  <c r="P259" i="1"/>
  <c r="W308" i="1"/>
  <c r="R114" i="1"/>
  <c r="P90" i="1"/>
  <c r="W284" i="1"/>
  <c r="U596" i="1"/>
  <c r="Q898" i="1"/>
  <c r="P112" i="1"/>
  <c r="S401" i="1"/>
  <c r="U647" i="1"/>
  <c r="V263" i="1"/>
  <c r="V126" i="1"/>
  <c r="Q81" i="1"/>
  <c r="R755" i="1"/>
  <c r="Q630" i="1"/>
  <c r="P221" i="1"/>
  <c r="P250" i="1"/>
  <c r="P43" i="1"/>
  <c r="S381" i="1"/>
  <c r="V215" i="1"/>
  <c r="V312" i="1"/>
  <c r="Q496" i="1"/>
  <c r="S936" i="1"/>
  <c r="T681" i="1"/>
  <c r="S679" i="1"/>
  <c r="Q282" i="1"/>
  <c r="R189" i="1"/>
  <c r="W638" i="1"/>
  <c r="U473" i="1"/>
  <c r="S233" i="1"/>
  <c r="P66" i="1"/>
  <c r="P449" i="1"/>
  <c r="P394" i="1"/>
  <c r="U72" i="1"/>
  <c r="Q369" i="1"/>
  <c r="W295" i="1"/>
  <c r="P378" i="1"/>
  <c r="R275" i="1"/>
  <c r="V573" i="1"/>
  <c r="S119" i="1"/>
  <c r="P360" i="1"/>
  <c r="S336" i="1"/>
  <c r="P242" i="1"/>
  <c r="P308" i="1"/>
  <c r="U566" i="1"/>
  <c r="S856" i="1"/>
  <c r="P204" i="1"/>
  <c r="P311" i="1"/>
  <c r="Q1050" i="1"/>
  <c r="R328" i="1"/>
  <c r="W714" i="1"/>
  <c r="U92" i="1"/>
  <c r="R866" i="1"/>
  <c r="U315" i="1"/>
  <c r="P156" i="1"/>
  <c r="R941" i="1"/>
  <c r="S284" i="1"/>
  <c r="S508" i="1"/>
  <c r="V613" i="1"/>
  <c r="P770" i="1"/>
  <c r="S35" i="1"/>
  <c r="U590" i="1"/>
  <c r="P97" i="1"/>
  <c r="Q192" i="1"/>
  <c r="U15" i="1"/>
  <c r="Q372" i="1"/>
  <c r="T596" i="1"/>
  <c r="W76" i="1"/>
  <c r="S424" i="1"/>
  <c r="Q274" i="1"/>
  <c r="R434" i="1"/>
  <c r="S104" i="1"/>
  <c r="R225" i="1"/>
  <c r="W310" i="1"/>
  <c r="Q80" i="1"/>
  <c r="W427" i="1"/>
  <c r="R466" i="1"/>
  <c r="P226" i="1"/>
  <c r="S931" i="1"/>
  <c r="Q193" i="1"/>
  <c r="S570" i="1"/>
  <c r="S301" i="1"/>
  <c r="W60" i="1"/>
  <c r="U349" i="1"/>
  <c r="V468" i="1"/>
  <c r="V507" i="1"/>
  <c r="W240" i="1"/>
  <c r="S313" i="1"/>
  <c r="S192" i="1"/>
  <c r="S231" i="1"/>
  <c r="S1047" i="1"/>
  <c r="R760" i="1"/>
  <c r="W356" i="1"/>
  <c r="S439" i="1"/>
  <c r="W9" i="1"/>
  <c r="Q51" i="1"/>
  <c r="T543" i="1"/>
  <c r="R635" i="1"/>
  <c r="R97" i="1"/>
  <c r="R346" i="1"/>
  <c r="R828" i="1"/>
  <c r="P673" i="1"/>
  <c r="T829" i="1"/>
  <c r="T938" i="1"/>
  <c r="Q165" i="1"/>
  <c r="W348" i="1"/>
  <c r="V190" i="1"/>
  <c r="U643" i="1"/>
  <c r="W262" i="1"/>
  <c r="W13" i="1"/>
  <c r="Q338" i="1"/>
  <c r="Q543" i="1"/>
  <c r="W228" i="1"/>
  <c r="V397" i="1"/>
  <c r="U447" i="1"/>
  <c r="R126" i="1"/>
  <c r="S781" i="1"/>
  <c r="P51" i="1"/>
  <c r="V456" i="1"/>
  <c r="T47" i="1"/>
  <c r="U283" i="1"/>
  <c r="W520" i="1"/>
  <c r="Q79" i="1"/>
  <c r="S131" i="1"/>
  <c r="T233" i="1"/>
  <c r="R1046" i="1"/>
  <c r="Q837" i="1"/>
  <c r="Q462" i="1"/>
  <c r="Q333" i="1"/>
  <c r="U286" i="1"/>
  <c r="V368" i="1"/>
  <c r="S455" i="1"/>
  <c r="U9" i="1"/>
  <c r="P271" i="1"/>
  <c r="V491" i="1"/>
  <c r="Q539" i="1"/>
  <c r="R922" i="1"/>
  <c r="V102" i="1"/>
  <c r="T396" i="1"/>
  <c r="Q556" i="1"/>
  <c r="T365" i="1"/>
  <c r="Q1015" i="1"/>
  <c r="R386" i="1"/>
  <c r="U423" i="1"/>
  <c r="U482" i="1"/>
  <c r="R977" i="1"/>
  <c r="V426" i="1"/>
  <c r="V121" i="1"/>
  <c r="S219" i="1"/>
  <c r="P313" i="1"/>
  <c r="T428" i="1"/>
  <c r="T977" i="1"/>
  <c r="Q853" i="1"/>
  <c r="S874" i="1"/>
  <c r="S368" i="1"/>
  <c r="R257" i="1"/>
  <c r="U211" i="1"/>
  <c r="V37" i="1"/>
  <c r="R810" i="1"/>
  <c r="S244" i="1"/>
  <c r="P93" i="1"/>
  <c r="T676" i="1"/>
  <c r="P523" i="1"/>
  <c r="U649" i="1"/>
  <c r="V581" i="1"/>
  <c r="V131" i="1"/>
  <c r="V493" i="1"/>
  <c r="V107" i="1"/>
  <c r="P520" i="1"/>
  <c r="P208" i="1"/>
  <c r="Q573" i="1"/>
  <c r="P700" i="1"/>
  <c r="U678" i="1"/>
  <c r="U193" i="1"/>
  <c r="W478" i="1"/>
  <c r="W260" i="1"/>
  <c r="U382" i="1"/>
  <c r="W263" i="1"/>
  <c r="W201" i="1"/>
  <c r="U88" i="1"/>
  <c r="R444" i="1"/>
  <c r="S444" i="1"/>
  <c r="W213" i="1"/>
  <c r="U340" i="1"/>
  <c r="Q116" i="1"/>
  <c r="W64" i="1"/>
  <c r="S606" i="1"/>
  <c r="U680" i="1"/>
  <c r="R830" i="1"/>
  <c r="R178" i="1"/>
  <c r="T985" i="1"/>
  <c r="V464" i="1"/>
  <c r="R657" i="1"/>
  <c r="Q410" i="1"/>
  <c r="U191" i="1"/>
  <c r="W75" i="1"/>
  <c r="V470" i="1"/>
  <c r="Q640" i="1"/>
  <c r="P754" i="1"/>
  <c r="S564" i="1"/>
  <c r="R419" i="1"/>
  <c r="R596" i="1"/>
  <c r="R286" i="1"/>
  <c r="V288" i="1"/>
  <c r="U651" i="1"/>
  <c r="W545" i="1"/>
  <c r="T577" i="1"/>
  <c r="S89" i="1"/>
  <c r="T240" i="1"/>
  <c r="U203" i="1"/>
  <c r="U232" i="1"/>
  <c r="P389" i="1"/>
  <c r="P124" i="1"/>
  <c r="S906" i="1"/>
  <c r="Q332" i="1"/>
  <c r="Q469" i="1"/>
  <c r="V405" i="1"/>
  <c r="S8" i="1"/>
  <c r="T289" i="1"/>
  <c r="S341" i="1"/>
  <c r="U671" i="1"/>
  <c r="P334" i="1"/>
  <c r="P397" i="1"/>
  <c r="P179" i="1"/>
  <c r="S204" i="1"/>
  <c r="V720" i="1"/>
  <c r="V336" i="1"/>
  <c r="Q614" i="1"/>
  <c r="S469" i="1"/>
  <c r="Q385" i="1"/>
  <c r="R494" i="1"/>
  <c r="Q78" i="1"/>
  <c r="P718" i="1"/>
  <c r="W635" i="1"/>
  <c r="T115" i="1"/>
  <c r="S565" i="1"/>
  <c r="W250" i="1"/>
  <c r="R680" i="1"/>
  <c r="T885" i="1"/>
  <c r="S720" i="1"/>
  <c r="W144" i="1"/>
  <c r="V211" i="1"/>
  <c r="T418" i="1"/>
  <c r="Q490" i="1"/>
  <c r="S271" i="1"/>
  <c r="R96" i="1"/>
  <c r="P12" i="1"/>
  <c r="W437" i="1"/>
  <c r="P1028" i="1"/>
  <c r="U135" i="1"/>
  <c r="Q451" i="1"/>
  <c r="T760" i="1"/>
  <c r="S995" i="1"/>
  <c r="W575" i="1"/>
  <c r="T506" i="1"/>
  <c r="U406" i="1"/>
  <c r="V142" i="1"/>
  <c r="P287" i="1"/>
  <c r="R591" i="1"/>
  <c r="T839" i="1"/>
  <c r="R263" i="1"/>
  <c r="P288" i="1"/>
  <c r="V237" i="1"/>
  <c r="Q416" i="1"/>
  <c r="S14" i="1"/>
  <c r="R512" i="1"/>
  <c r="W89" i="1"/>
  <c r="T169" i="1"/>
  <c r="P3" i="1"/>
  <c r="U618" i="1"/>
  <c r="V173" i="1"/>
  <c r="T607" i="1"/>
  <c r="S76" i="1"/>
  <c r="S557" i="1"/>
  <c r="P157" i="1"/>
  <c r="S364" i="1"/>
  <c r="R326" i="1"/>
  <c r="P68" i="1"/>
  <c r="W729" i="1"/>
  <c r="S959" i="1"/>
  <c r="W78" i="1"/>
  <c r="Q827" i="1"/>
  <c r="T384" i="1"/>
  <c r="S115" i="1"/>
  <c r="W637" i="1"/>
  <c r="V600" i="1"/>
  <c r="W5" i="1"/>
  <c r="T731" i="1"/>
  <c r="Q953" i="1"/>
  <c r="R12" i="1"/>
  <c r="R201" i="1"/>
  <c r="S186" i="1"/>
  <c r="Q129" i="1"/>
  <c r="V36" i="1"/>
  <c r="T345" i="1"/>
  <c r="S754" i="1"/>
  <c r="Q529" i="1"/>
  <c r="P4" i="1"/>
  <c r="S761" i="1"/>
  <c r="V536" i="1"/>
  <c r="Q255" i="1"/>
  <c r="Q933" i="1"/>
  <c r="V609" i="1"/>
  <c r="U119" i="1"/>
  <c r="W528" i="1"/>
  <c r="P218" i="1"/>
  <c r="S297" i="1"/>
  <c r="U333" i="1"/>
  <c r="V617" i="1"/>
  <c r="U517" i="1"/>
  <c r="V369" i="1"/>
  <c r="S676" i="1"/>
  <c r="P383" i="1"/>
  <c r="T498" i="1"/>
  <c r="R899" i="1"/>
  <c r="Q119" i="1"/>
  <c r="S618" i="1"/>
  <c r="V15" i="1"/>
  <c r="W326" i="1"/>
  <c r="P531" i="1"/>
  <c r="T670" i="1"/>
  <c r="S579" i="1"/>
  <c r="Q972" i="1"/>
  <c r="W336" i="1"/>
  <c r="S308" i="1"/>
  <c r="Q348" i="1"/>
  <c r="P262" i="1"/>
  <c r="U440" i="1"/>
  <c r="T643" i="1"/>
  <c r="P602" i="1"/>
  <c r="Q498" i="1"/>
  <c r="Q63" i="1"/>
  <c r="V144" i="1"/>
  <c r="Q604" i="1"/>
  <c r="S99" i="1"/>
  <c r="T919" i="1"/>
  <c r="P726" i="1"/>
  <c r="Q767" i="1"/>
  <c r="T217" i="1"/>
  <c r="Q689" i="1"/>
  <c r="S620" i="1"/>
  <c r="T589" i="1"/>
  <c r="W161" i="1"/>
  <c r="U150" i="1"/>
  <c r="S184" i="1"/>
  <c r="Q922" i="1"/>
  <c r="R76" i="1"/>
  <c r="U574" i="1"/>
  <c r="T474" i="1"/>
  <c r="T336" i="1"/>
  <c r="U91" i="1"/>
  <c r="P41" i="1"/>
  <c r="U241" i="1"/>
  <c r="Q153" i="1"/>
  <c r="V217" i="1"/>
  <c r="Q82" i="1"/>
  <c r="P636" i="1"/>
  <c r="T99" i="1"/>
  <c r="T138" i="1"/>
  <c r="Q612" i="1"/>
  <c r="W547" i="1"/>
  <c r="P147" i="1"/>
  <c r="P481" i="1"/>
  <c r="Q426" i="1"/>
  <c r="R144" i="1"/>
  <c r="R520" i="1"/>
  <c r="W500" i="1"/>
  <c r="U636" i="1"/>
  <c r="Q667" i="1"/>
  <c r="R994" i="1"/>
  <c r="V200" i="1"/>
  <c r="S193" i="1"/>
  <c r="Q696" i="1"/>
  <c r="R80" i="1"/>
  <c r="T390" i="1"/>
  <c r="R480" i="1"/>
  <c r="S48" i="1"/>
  <c r="Q203" i="1"/>
  <c r="S154" i="1"/>
  <c r="V389" i="1"/>
  <c r="S81" i="1"/>
  <c r="S655" i="1"/>
  <c r="S807" i="1"/>
  <c r="P297" i="1"/>
  <c r="R443" i="1"/>
  <c r="P367" i="1"/>
  <c r="Q870" i="1"/>
  <c r="Q951" i="1"/>
  <c r="W8" i="1"/>
  <c r="S372" i="1"/>
  <c r="Q50" i="1"/>
  <c r="P109" i="1"/>
  <c r="P291" i="1"/>
  <c r="V137" i="1"/>
  <c r="S549" i="1"/>
  <c r="S295" i="1"/>
  <c r="S790" i="1"/>
  <c r="S566" i="1"/>
  <c r="U145" i="1"/>
  <c r="Q458" i="1"/>
  <c r="Q127" i="1"/>
  <c r="P350" i="1"/>
  <c r="Q244" i="1"/>
  <c r="W456" i="1"/>
  <c r="V42" i="1"/>
  <c r="V353" i="1"/>
  <c r="T44" i="1"/>
  <c r="U547" i="1"/>
  <c r="V58" i="1"/>
  <c r="V146" i="1"/>
  <c r="R572" i="1"/>
  <c r="W168" i="1"/>
  <c r="V230" i="1"/>
  <c r="T235" i="1"/>
  <c r="T74" i="1"/>
  <c r="W209" i="1"/>
  <c r="P165" i="1"/>
  <c r="Q700" i="1"/>
  <c r="T95" i="1"/>
  <c r="R826" i="1"/>
  <c r="Q464" i="1"/>
  <c r="T623" i="1"/>
  <c r="T334" i="1"/>
  <c r="U427" i="1"/>
  <c r="S609" i="1"/>
  <c r="T579" i="1"/>
  <c r="T960" i="1"/>
  <c r="P698" i="1"/>
  <c r="S227" i="1"/>
  <c r="S161" i="1"/>
  <c r="S456" i="1"/>
  <c r="Q393" i="1"/>
  <c r="S317" i="1"/>
  <c r="T213" i="1"/>
  <c r="Q318" i="1"/>
  <c r="Q513" i="1"/>
  <c r="Q207" i="1"/>
  <c r="V56" i="1"/>
  <c r="P65" i="1"/>
  <c r="U148" i="1"/>
  <c r="W313" i="1"/>
  <c r="T806" i="1"/>
  <c r="P92" i="1"/>
  <c r="U82" i="1"/>
  <c r="S329" i="1"/>
  <c r="U158" i="1"/>
  <c r="S276" i="1"/>
  <c r="T113" i="1"/>
  <c r="V82" i="1"/>
  <c r="Q152" i="1"/>
  <c r="U164" i="1"/>
  <c r="R236" i="1"/>
  <c r="Q871" i="1"/>
  <c r="W154" i="1"/>
  <c r="Q104" i="1"/>
  <c r="S190" i="1"/>
  <c r="V98" i="1"/>
  <c r="T733" i="1"/>
  <c r="U131" i="1"/>
  <c r="V236" i="1"/>
  <c r="V163" i="1"/>
  <c r="W162" i="1"/>
  <c r="V161" i="1"/>
  <c r="Q611" i="1"/>
  <c r="T114" i="1"/>
  <c r="R546" i="1"/>
  <c r="U238" i="1"/>
  <c r="P485" i="1"/>
  <c r="Q371" i="1"/>
  <c r="S544" i="1"/>
  <c r="W165" i="1"/>
  <c r="T697" i="1"/>
  <c r="W612" i="1"/>
  <c r="P36" i="1"/>
  <c r="V723" i="1"/>
  <c r="Q54" i="1"/>
  <c r="U569" i="1"/>
  <c r="V584" i="1"/>
  <c r="S578" i="1"/>
  <c r="R532" i="1"/>
  <c r="R369" i="1"/>
  <c r="Q34" i="1"/>
  <c r="S256" i="1"/>
  <c r="T245" i="1"/>
  <c r="W658" i="1"/>
  <c r="U638" i="1"/>
  <c r="Q554" i="1"/>
  <c r="U160" i="1"/>
  <c r="U318" i="1"/>
  <c r="V616" i="1"/>
  <c r="T58" i="1"/>
  <c r="V59" i="1"/>
  <c r="P162" i="1"/>
  <c r="W100" i="1"/>
  <c r="T462" i="1"/>
  <c r="T772" i="1"/>
  <c r="W15" i="1"/>
  <c r="W333" i="1"/>
  <c r="R217" i="1"/>
  <c r="S87" i="1"/>
  <c r="T784" i="1"/>
  <c r="Q66" i="1"/>
  <c r="P684" i="1"/>
  <c r="Q352" i="1"/>
  <c r="Q975" i="1"/>
  <c r="Q721" i="1"/>
  <c r="U407" i="1"/>
  <c r="Q337" i="1"/>
  <c r="R227" i="1"/>
  <c r="T161" i="1"/>
  <c r="U376" i="1"/>
  <c r="U323" i="1"/>
  <c r="R541" i="1"/>
  <c r="R585" i="1"/>
  <c r="V178" i="1"/>
  <c r="R413" i="1"/>
  <c r="S784" i="1"/>
  <c r="P265" i="1"/>
  <c r="R579" i="1"/>
  <c r="R324" i="1"/>
  <c r="S235" i="1"/>
  <c r="T255" i="1"/>
  <c r="S417" i="1"/>
  <c r="R269" i="1"/>
  <c r="U189" i="1"/>
  <c r="U327" i="1"/>
  <c r="T185" i="1"/>
  <c r="P8" i="1"/>
  <c r="S496" i="1"/>
  <c r="S34" i="1"/>
  <c r="V244" i="1"/>
  <c r="P152" i="1"/>
  <c r="W115" i="1"/>
  <c r="U275" i="1"/>
  <c r="W61" i="1"/>
  <c r="P707" i="1"/>
  <c r="V296" i="1"/>
  <c r="P254" i="1"/>
  <c r="P836" i="1"/>
  <c r="T485" i="1"/>
  <c r="U733" i="1"/>
  <c r="S314" i="1"/>
  <c r="U683" i="1"/>
  <c r="R289" i="1"/>
  <c r="S377" i="1"/>
  <c r="R91" i="1"/>
  <c r="Q892" i="1"/>
  <c r="T238" i="1"/>
  <c r="S892" i="1"/>
  <c r="R77" i="1"/>
  <c r="Q343" i="1"/>
  <c r="Q587" i="1"/>
  <c r="U411" i="1"/>
  <c r="U476" i="1"/>
  <c r="W134" i="1"/>
  <c r="T832" i="1"/>
  <c r="U83" i="1"/>
  <c r="U640" i="1"/>
  <c r="R567" i="1"/>
  <c r="U388" i="1"/>
  <c r="P911" i="1"/>
  <c r="P130" i="1"/>
  <c r="Q130" i="1"/>
  <c r="V193" i="1"/>
  <c r="S220" i="1"/>
  <c r="S526" i="1"/>
  <c r="S547" i="1"/>
  <c r="U223" i="1"/>
  <c r="W440" i="1"/>
  <c r="R63" i="1"/>
  <c r="S343" i="1"/>
  <c r="R509" i="1"/>
  <c r="Q312" i="1"/>
  <c r="W247" i="1"/>
  <c r="Q626" i="1"/>
  <c r="V713" i="1"/>
  <c r="P149" i="1"/>
  <c r="P309" i="1"/>
  <c r="Q47" i="1"/>
  <c r="S67" i="1"/>
  <c r="W126" i="1"/>
  <c r="R602" i="1"/>
  <c r="T316" i="1"/>
  <c r="S175" i="1"/>
  <c r="U416" i="1"/>
  <c r="R1047" i="1"/>
  <c r="V708" i="1"/>
  <c r="R168" i="1"/>
  <c r="U335" i="1"/>
  <c r="W428" i="1"/>
  <c r="W435" i="1"/>
  <c r="Q74" i="1"/>
  <c r="P439" i="1"/>
  <c r="S37" i="1"/>
  <c r="R43" i="1"/>
  <c r="Q651" i="1"/>
  <c r="R788" i="1"/>
  <c r="S352" i="1"/>
  <c r="V181" i="1"/>
  <c r="W434" i="1"/>
  <c r="U75" i="1"/>
  <c r="R353" i="1"/>
  <c r="R410" i="1"/>
  <c r="U65" i="1"/>
  <c r="V210" i="1"/>
  <c r="S593" i="1"/>
  <c r="R79" i="1"/>
  <c r="P465" i="1"/>
  <c r="V85" i="1"/>
  <c r="T223" i="1"/>
  <c r="W623" i="1"/>
  <c r="U51" i="1"/>
  <c r="U585" i="1"/>
  <c r="Q173" i="1"/>
  <c r="P349" i="1"/>
  <c r="W97" i="1"/>
  <c r="V419" i="1"/>
  <c r="Q67" i="1"/>
  <c r="T325" i="1"/>
  <c r="Q313" i="1"/>
  <c r="P216" i="1"/>
  <c r="W320" i="1"/>
  <c r="R348" i="1"/>
  <c r="U118" i="1"/>
  <c r="W218" i="1"/>
  <c r="U494" i="1"/>
  <c r="Q699" i="1"/>
  <c r="S462" i="1"/>
  <c r="T620" i="1"/>
  <c r="S604" i="1"/>
  <c r="R636" i="1"/>
  <c r="P248" i="1"/>
  <c r="U644" i="1"/>
  <c r="W671" i="1"/>
  <c r="T227" i="1"/>
  <c r="U192" i="1"/>
  <c r="Q595" i="1"/>
  <c r="V527" i="1"/>
  <c r="S358" i="1"/>
  <c r="T692" i="1"/>
  <c r="W235" i="1"/>
  <c r="S82" i="1"/>
  <c r="P223" i="1"/>
  <c r="V302" i="1"/>
  <c r="T153" i="1"/>
  <c r="P335" i="1"/>
  <c r="S279" i="1"/>
  <c r="U106" i="1"/>
  <c r="U456" i="1"/>
  <c r="Q424" i="1"/>
  <c r="W175" i="1"/>
  <c r="Q132" i="1"/>
  <c r="S831" i="1"/>
  <c r="W203" i="1"/>
  <c r="T869" i="1"/>
  <c r="V695" i="1"/>
  <c r="T686" i="1"/>
  <c r="R51" i="1"/>
  <c r="T264" i="1"/>
  <c r="U48" i="1"/>
  <c r="W252" i="1"/>
  <c r="Q719" i="1"/>
  <c r="W153" i="1"/>
  <c r="S505" i="1"/>
  <c r="S145" i="1"/>
  <c r="P56" i="1"/>
  <c r="P699" i="1"/>
  <c r="W181" i="1"/>
  <c r="U11" i="1"/>
  <c r="P177" i="1"/>
  <c r="U77" i="1"/>
  <c r="T270" i="1"/>
  <c r="V526" i="1"/>
  <c r="P717" i="1"/>
  <c r="U597" i="1"/>
  <c r="R387" i="1"/>
  <c r="U478" i="1"/>
  <c r="Q374" i="1"/>
  <c r="U251" i="1"/>
  <c r="Q388" i="1"/>
  <c r="S586" i="1"/>
  <c r="S166" i="1"/>
  <c r="U493" i="1"/>
  <c r="T214" i="1"/>
  <c r="V590" i="1"/>
  <c r="S278" i="1"/>
  <c r="U33" i="1"/>
  <c r="R299" i="1"/>
  <c r="Q810" i="1"/>
  <c r="P543" i="1"/>
  <c r="W55" i="1"/>
  <c r="S610" i="1"/>
  <c r="W598" i="1"/>
  <c r="W592" i="1"/>
  <c r="T130" i="1"/>
  <c r="P241" i="1"/>
  <c r="W306" i="1"/>
  <c r="S174" i="1"/>
  <c r="V152" i="1"/>
  <c r="W206" i="1"/>
  <c r="V39" i="1"/>
  <c r="W291" i="1"/>
  <c r="R256" i="1"/>
  <c r="Q213" i="1"/>
  <c r="R206" i="1"/>
  <c r="R250" i="1"/>
  <c r="U384" i="1"/>
  <c r="U137" i="1"/>
  <c r="P252" i="1"/>
  <c r="R383" i="1"/>
  <c r="T163" i="1"/>
  <c r="S693" i="1"/>
  <c r="R335" i="1"/>
  <c r="W51" i="1"/>
  <c r="T65" i="1"/>
  <c r="Q72" i="1"/>
  <c r="S428" i="1"/>
  <c r="V574" i="1"/>
  <c r="V352" i="1"/>
  <c r="U477" i="1"/>
  <c r="T591" i="1"/>
  <c r="P34" i="1"/>
  <c r="Q208" i="1"/>
  <c r="U523" i="1"/>
  <c r="U367" i="1"/>
  <c r="W127" i="1"/>
  <c r="S198" i="1"/>
  <c r="Q971" i="1"/>
  <c r="R460" i="1"/>
  <c r="Q134" i="1"/>
  <c r="T614" i="1"/>
  <c r="P382" i="1"/>
  <c r="T182" i="1"/>
  <c r="S172" i="1"/>
  <c r="Q813" i="1"/>
  <c r="V641" i="1"/>
  <c r="Q117" i="1"/>
  <c r="P504" i="1"/>
  <c r="V229" i="1"/>
  <c r="Q730" i="1"/>
  <c r="P96" i="1"/>
  <c r="S806" i="1"/>
  <c r="V384" i="1"/>
  <c r="S291" i="1"/>
  <c r="T242" i="1"/>
  <c r="P258" i="1"/>
  <c r="Q702" i="1"/>
  <c r="R125" i="1"/>
  <c r="P153" i="1"/>
  <c r="U6" i="1"/>
  <c r="U210" i="1"/>
  <c r="S583" i="1"/>
  <c r="P188" i="1"/>
  <c r="P166" i="1"/>
  <c r="T870" i="1"/>
  <c r="U385" i="1"/>
  <c r="Q723" i="1"/>
  <c r="T920" i="1"/>
  <c r="S109" i="1"/>
  <c r="P672" i="1"/>
  <c r="P852" i="1"/>
  <c r="P316" i="1"/>
  <c r="T41" i="1"/>
  <c r="W429" i="1"/>
  <c r="W350" i="1"/>
  <c r="W173" i="1"/>
  <c r="P601" i="1"/>
  <c r="P342" i="1"/>
  <c r="V675" i="1"/>
  <c r="V100" i="1"/>
  <c r="V304" i="1"/>
  <c r="Q232" i="1"/>
  <c r="S223" i="1"/>
  <c r="P33" i="1"/>
  <c r="P337" i="1"/>
  <c r="V508" i="1"/>
  <c r="Q191" i="1"/>
  <c r="V665" i="1"/>
  <c r="W101" i="1"/>
  <c r="T275" i="1"/>
  <c r="R229" i="1"/>
  <c r="T677" i="1"/>
  <c r="W198" i="1"/>
  <c r="U69" i="1"/>
  <c r="U583" i="1"/>
  <c r="U739" i="1"/>
  <c r="U343" i="1"/>
  <c r="W222" i="1"/>
  <c r="U338" i="1"/>
  <c r="P59" i="1"/>
  <c r="R330" i="1"/>
  <c r="V66" i="1"/>
  <c r="T766" i="1"/>
  <c r="S745" i="1"/>
  <c r="T452" i="1"/>
  <c r="P654" i="1"/>
  <c r="P235" i="1"/>
  <c r="V393" i="1"/>
  <c r="Q499" i="1"/>
  <c r="Q163" i="1"/>
  <c r="P510" i="1"/>
  <c r="R235" i="1"/>
  <c r="V68" i="1"/>
  <c r="U330" i="1"/>
  <c r="W147" i="1"/>
  <c r="T292" i="1"/>
  <c r="T262" i="1"/>
  <c r="R113" i="1"/>
  <c r="P395" i="1"/>
  <c r="R867" i="1"/>
  <c r="V62" i="1"/>
  <c r="S232" i="1"/>
  <c r="T175" i="1"/>
  <c r="S72" i="1"/>
  <c r="U112" i="1"/>
  <c r="U504" i="1"/>
  <c r="R243" i="1"/>
  <c r="R569" i="1"/>
  <c r="R832" i="1"/>
  <c r="W549" i="1"/>
  <c r="W241" i="1"/>
  <c r="S406" i="1"/>
  <c r="T611" i="1"/>
  <c r="Q259" i="1"/>
  <c r="S246" i="1"/>
  <c r="U300" i="1"/>
  <c r="P637" i="1"/>
  <c r="T229" i="1"/>
  <c r="Q674" i="1"/>
  <c r="V381" i="1"/>
  <c r="V240" i="1"/>
  <c r="Q114" i="1"/>
  <c r="Q291" i="1"/>
  <c r="P404" i="1"/>
  <c r="R280" i="1"/>
  <c r="V134" i="1"/>
  <c r="R372" i="1"/>
  <c r="U401" i="1"/>
  <c r="U59" i="1"/>
  <c r="W563" i="1"/>
  <c r="S75" i="1"/>
  <c r="T294" i="1"/>
  <c r="T566" i="1"/>
  <c r="R985" i="1"/>
  <c r="V660" i="1"/>
  <c r="U4" i="1"/>
  <c r="Q331" i="1"/>
  <c r="W442" i="1"/>
  <c r="S144" i="1"/>
  <c r="P195" i="1"/>
  <c r="P608" i="1"/>
  <c r="U449" i="1"/>
  <c r="T215" i="1"/>
  <c r="Q500" i="1"/>
  <c r="P167" i="1"/>
  <c r="Q447" i="1"/>
  <c r="R669" i="1"/>
  <c r="W423" i="1"/>
  <c r="R57" i="1"/>
  <c r="V53" i="1"/>
  <c r="Q110" i="1"/>
  <c r="R732" i="1"/>
  <c r="Q56" i="1"/>
  <c r="Q634" i="1"/>
  <c r="V558" i="1"/>
  <c r="R38" i="1"/>
  <c r="V694" i="1"/>
  <c r="P791" i="1"/>
  <c r="W148" i="1"/>
  <c r="T331" i="1"/>
  <c r="R581" i="1"/>
  <c r="V300" i="1"/>
  <c r="P154" i="1"/>
  <c r="U355" i="1"/>
  <c r="W48" i="1"/>
  <c r="P137" i="1"/>
  <c r="Q4" i="1"/>
  <c r="R472" i="1"/>
  <c r="U299" i="1"/>
  <c r="R162" i="1"/>
  <c r="V735" i="1"/>
  <c r="S216" i="1"/>
  <c r="R944" i="1"/>
  <c r="W708" i="1"/>
  <c r="Q57" i="1"/>
  <c r="W142" i="1"/>
  <c r="R87" i="1"/>
  <c r="S672" i="1"/>
  <c r="S824" i="1"/>
  <c r="S1003" i="1"/>
  <c r="R222" i="1"/>
  <c r="W102" i="1"/>
  <c r="S97" i="1"/>
  <c r="U267" i="1"/>
  <c r="T192" i="1"/>
  <c r="Q156" i="1"/>
  <c r="P369" i="1"/>
  <c r="T38" i="1"/>
  <c r="P127" i="1"/>
  <c r="T765" i="1"/>
  <c r="Q131" i="1"/>
  <c r="Q635" i="1"/>
  <c r="Q775" i="1"/>
  <c r="T246" i="1"/>
  <c r="Q703" i="1"/>
  <c r="R287" i="1"/>
  <c r="U107" i="1"/>
  <c r="S305" i="1"/>
  <c r="T72" i="1"/>
  <c r="W681" i="1"/>
  <c r="U282" i="1"/>
  <c r="P488" i="1"/>
  <c r="T744" i="1"/>
  <c r="T593" i="1"/>
  <c r="V171" i="1"/>
  <c r="W589" i="1"/>
  <c r="U495" i="1"/>
  <c r="R6" i="1"/>
  <c r="W470" i="1"/>
  <c r="P668" i="1"/>
  <c r="U641" i="1"/>
  <c r="P243" i="1"/>
  <c r="T200" i="1"/>
  <c r="V418" i="1"/>
  <c r="T379" i="1"/>
  <c r="P544" i="1"/>
  <c r="P108" i="1"/>
  <c r="R202" i="1"/>
  <c r="W294" i="1"/>
  <c r="P169" i="1"/>
  <c r="V60" i="1"/>
  <c r="T511" i="1"/>
  <c r="W146" i="1"/>
  <c r="P427" i="1"/>
  <c r="Q362" i="1"/>
  <c r="V274" i="1"/>
  <c r="V266" i="1"/>
  <c r="Q325" i="1"/>
  <c r="R203" i="1"/>
  <c r="P312" i="1"/>
  <c r="P377" i="1"/>
  <c r="P753" i="1"/>
  <c r="U303" i="1"/>
  <c r="W39" i="1"/>
  <c r="R704" i="1"/>
  <c r="T522" i="1"/>
  <c r="U480" i="1"/>
  <c r="Q386" i="1"/>
  <c r="W110" i="1"/>
  <c r="T966" i="1"/>
  <c r="R550" i="1"/>
  <c r="P168" i="1"/>
  <c r="U111" i="1"/>
  <c r="T586" i="1"/>
  <c r="W344" i="1"/>
  <c r="Q973" i="1"/>
  <c r="P101" i="1"/>
  <c r="W80" i="1"/>
  <c r="Q489" i="1"/>
  <c r="U434" i="1"/>
  <c r="S129" i="1"/>
  <c r="V51" i="1"/>
  <c r="Q115" i="1"/>
  <c r="P574" i="1"/>
  <c r="R838" i="1"/>
  <c r="U230" i="1"/>
  <c r="T841" i="1"/>
  <c r="Q609" i="1"/>
  <c r="W12" i="1"/>
  <c r="Q205" i="1"/>
  <c r="Q182" i="1"/>
  <c r="Q161" i="1"/>
  <c r="S134" i="1"/>
  <c r="V451" i="1"/>
  <c r="S206" i="1"/>
  <c r="Q8" i="1"/>
  <c r="P148" i="1"/>
  <c r="P341" i="1"/>
  <c r="W574" i="1"/>
  <c r="T759" i="1"/>
  <c r="U462" i="1"/>
  <c r="Q377" i="1"/>
  <c r="R382" i="1"/>
  <c r="U287" i="1"/>
  <c r="T284" i="1"/>
  <c r="W433" i="1"/>
  <c r="S554" i="1"/>
  <c r="W736" i="1"/>
  <c r="W540" i="1"/>
  <c r="T273" i="1"/>
  <c r="R329" i="1"/>
  <c r="P966" i="1"/>
  <c r="S380" i="1"/>
  <c r="T689" i="1"/>
  <c r="P76" i="1"/>
  <c r="U624" i="1"/>
  <c r="R768" i="1"/>
  <c r="W691" i="1"/>
  <c r="Q257" i="1"/>
  <c r="R515" i="1"/>
  <c r="U539" i="1"/>
  <c r="U98" i="1"/>
  <c r="U53" i="1"/>
  <c r="Q367" i="1"/>
  <c r="R322" i="1"/>
  <c r="W557" i="1"/>
  <c r="V205" i="1"/>
  <c r="U108" i="1"/>
  <c r="Q94" i="1"/>
  <c r="S340" i="1"/>
  <c r="V65" i="1"/>
  <c r="U572" i="1"/>
  <c r="T172" i="1"/>
  <c r="T431" i="1"/>
  <c r="V683" i="1"/>
  <c r="T516" i="1"/>
  <c r="R765" i="1"/>
  <c r="V127" i="1"/>
  <c r="P294" i="1"/>
  <c r="W145" i="1"/>
  <c r="U185" i="1"/>
  <c r="T179" i="1"/>
  <c r="R47" i="1"/>
  <c r="T386" i="1"/>
  <c r="U196" i="1"/>
  <c r="P178" i="1"/>
  <c r="V45" i="1"/>
  <c r="T211" i="1"/>
  <c r="Q676" i="1"/>
  <c r="R112" i="1"/>
  <c r="R616" i="1"/>
  <c r="U717" i="1"/>
  <c r="R534" i="1"/>
  <c r="R88" i="1"/>
  <c r="W372" i="1"/>
  <c r="W657" i="1"/>
  <c r="Q179" i="1"/>
  <c r="W394" i="1"/>
  <c r="S51" i="1"/>
  <c r="T492" i="1"/>
  <c r="Q579" i="1"/>
  <c r="U10" i="1"/>
  <c r="R622" i="1"/>
  <c r="R296" i="1"/>
  <c r="U252" i="1"/>
  <c r="T953" i="1"/>
  <c r="S1036" i="1"/>
  <c r="V120" i="1"/>
  <c r="Q147" i="1"/>
  <c r="W361" i="1"/>
  <c r="T237" i="1"/>
  <c r="U619" i="1"/>
  <c r="P284" i="1"/>
  <c r="W536" i="1"/>
  <c r="Q198" i="1"/>
  <c r="V248" i="1"/>
  <c r="Q91" i="1"/>
  <c r="W248" i="1"/>
  <c r="S755" i="1"/>
  <c r="V254" i="1"/>
  <c r="W56" i="1"/>
  <c r="T851" i="1"/>
  <c r="S413" i="1"/>
  <c r="W227" i="1"/>
  <c r="P358" i="1"/>
  <c r="T180" i="1"/>
  <c r="R41" i="1"/>
  <c r="T89" i="1"/>
  <c r="P375" i="1"/>
  <c r="S245" i="1"/>
  <c r="T216" i="1"/>
  <c r="R427" i="1"/>
  <c r="R101" i="1"/>
  <c r="U570" i="1"/>
  <c r="U115" i="1"/>
  <c r="Q64" i="1"/>
  <c r="T10" i="1"/>
  <c r="Q350" i="1"/>
  <c r="T186" i="1"/>
  <c r="W54" i="1"/>
  <c r="R208" i="1"/>
  <c r="R142" i="1"/>
  <c r="W480" i="1"/>
  <c r="U450" i="1"/>
  <c r="U134" i="1"/>
  <c r="V139" i="1"/>
  <c r="T344" i="1"/>
  <c r="P454" i="1"/>
  <c r="R903" i="1"/>
  <c r="V11" i="1"/>
  <c r="R593" i="1"/>
  <c r="V77" i="1"/>
  <c r="R672" i="1"/>
  <c r="U94" i="1"/>
  <c r="W113" i="1"/>
  <c r="V717" i="1"/>
  <c r="U167" i="1"/>
  <c r="R349" i="1"/>
  <c r="P553" i="1"/>
  <c r="U99" i="1"/>
  <c r="W172" i="1"/>
  <c r="R53" i="1"/>
  <c r="R7" i="1"/>
  <c r="U95" i="1"/>
  <c r="T315" i="1"/>
  <c r="S200" i="1"/>
  <c r="T166" i="1"/>
  <c r="S840" i="1"/>
  <c r="P279" i="1"/>
  <c r="T422" i="1"/>
  <c r="R133" i="1"/>
  <c r="U400" i="1"/>
  <c r="T945" i="1"/>
  <c r="P896" i="1"/>
  <c r="T52" i="1"/>
  <c r="P99" i="1"/>
  <c r="P476" i="1"/>
  <c r="T734" i="1"/>
  <c r="R481" i="1"/>
  <c r="U486" i="1"/>
  <c r="Q300" i="1"/>
  <c r="U468" i="1"/>
  <c r="S558" i="1"/>
  <c r="S247" i="1"/>
  <c r="U128" i="1"/>
  <c r="V40" i="1"/>
  <c r="P47" i="1"/>
  <c r="Q805" i="1"/>
  <c r="W152" i="1"/>
  <c r="Q811" i="1"/>
  <c r="T831" i="1"/>
  <c r="V628" i="1"/>
  <c r="U159" i="1"/>
  <c r="T184" i="1"/>
  <c r="S42" i="1"/>
  <c r="P215" i="1"/>
  <c r="W276" i="1"/>
  <c r="T293" i="1"/>
  <c r="R355" i="1"/>
  <c r="U500" i="1"/>
  <c r="Q440" i="1"/>
  <c r="R228" i="1"/>
  <c r="T754" i="1"/>
  <c r="T332" i="1"/>
  <c r="V428" i="1"/>
  <c r="P327" i="1"/>
  <c r="P604" i="1"/>
  <c r="R86" i="1"/>
  <c r="U279" i="1"/>
  <c r="P326" i="1"/>
  <c r="P57" i="1"/>
  <c r="R361" i="1"/>
  <c r="P237" i="1"/>
  <c r="T268" i="1"/>
  <c r="T297" i="1"/>
  <c r="V452" i="1"/>
  <c r="P318" i="1"/>
  <c r="V184" i="1"/>
  <c r="Q210" i="1"/>
  <c r="Q252" i="1"/>
  <c r="S159" i="1"/>
  <c r="T314" i="1"/>
  <c r="T600" i="1"/>
  <c r="T104" i="1"/>
  <c r="P303" i="1"/>
  <c r="P521" i="1"/>
  <c r="R514" i="1"/>
  <c r="R389" i="1"/>
  <c r="Q275" i="1"/>
  <c r="V281" i="1"/>
  <c r="S383" i="1"/>
  <c r="P328" i="1"/>
  <c r="Q773" i="1"/>
  <c r="P645" i="1"/>
  <c r="R164" i="1"/>
  <c r="U277" i="1"/>
  <c r="P155" i="1"/>
  <c r="P87" i="1"/>
  <c r="Q550" i="1"/>
  <c r="V94" i="1"/>
  <c r="R159" i="1"/>
  <c r="S294" i="1"/>
  <c r="R809" i="1"/>
  <c r="R740" i="1"/>
  <c r="W355" i="1"/>
  <c r="R707" i="1"/>
  <c r="R265" i="1"/>
  <c r="Q281" i="1"/>
  <c r="P418" i="1"/>
  <c r="P597" i="1"/>
  <c r="S229" i="1"/>
  <c r="S722" i="1"/>
  <c r="Q296" i="1"/>
  <c r="U174" i="1"/>
  <c r="W194" i="1"/>
  <c r="R880" i="1"/>
  <c r="P181" i="1"/>
  <c r="V365" i="1"/>
  <c r="P146" i="1"/>
  <c r="Q841" i="1"/>
  <c r="T441" i="1"/>
  <c r="R893" i="1"/>
  <c r="V539" i="1"/>
  <c r="P802" i="1"/>
  <c r="W125" i="1"/>
  <c r="S434" i="1"/>
  <c r="S450" i="1"/>
  <c r="V364" i="1"/>
  <c r="R402" i="1"/>
  <c r="Q408" i="1"/>
  <c r="V422" i="1"/>
  <c r="Q121" i="1"/>
  <c r="V295" i="1"/>
  <c r="Q1037" i="1"/>
  <c r="S11" i="1"/>
  <c r="R139" i="1"/>
  <c r="S1020" i="1"/>
  <c r="Q249" i="1"/>
  <c r="P54" i="1"/>
  <c r="Q122" i="1"/>
  <c r="V67" i="1"/>
  <c r="S225" i="1"/>
  <c r="W373" i="1"/>
  <c r="R588" i="1"/>
  <c r="T991" i="1"/>
  <c r="V72" i="1"/>
  <c r="Q741" i="1"/>
  <c r="V87" i="1"/>
  <c r="W458" i="1"/>
  <c r="S442" i="1"/>
  <c r="U322" i="1"/>
  <c r="U234" i="1"/>
  <c r="Q423" i="1"/>
  <c r="Q288" i="1"/>
  <c r="P91" i="1"/>
  <c r="T220" i="1"/>
  <c r="R648" i="1"/>
  <c r="U460" i="1"/>
  <c r="U74" i="1"/>
  <c r="Q534" i="1"/>
  <c r="W231" i="1"/>
  <c r="Q768" i="1"/>
  <c r="V662" i="1"/>
  <c r="Q76" i="1"/>
  <c r="P622" i="1"/>
  <c r="P769" i="1"/>
  <c r="U105" i="1"/>
  <c r="W67" i="1"/>
  <c r="P586" i="1"/>
  <c r="S534" i="1"/>
  <c r="P103" i="1"/>
  <c r="Q347" i="1"/>
  <c r="U218" i="1"/>
  <c r="U312" i="1"/>
  <c r="R149" i="1"/>
  <c r="Q735" i="1"/>
  <c r="T858" i="1"/>
  <c r="S516" i="1"/>
  <c r="U139" i="1"/>
  <c r="R1032" i="1"/>
  <c r="P566" i="1"/>
  <c r="S680" i="1"/>
  <c r="P104" i="1"/>
  <c r="S203" i="1"/>
  <c r="T335" i="1"/>
  <c r="Q546" i="1"/>
  <c r="P398" i="1"/>
  <c r="T98" i="1"/>
  <c r="R148" i="1"/>
  <c r="S164" i="1"/>
  <c r="S345" i="1"/>
  <c r="W421" i="1"/>
  <c r="Q495" i="1"/>
  <c r="W208" i="1"/>
  <c r="S357" i="1"/>
  <c r="T312" i="1"/>
  <c r="S300" i="1"/>
  <c r="Q639" i="1"/>
  <c r="S274" i="1"/>
  <c r="S49" i="1"/>
  <c r="S230" i="1"/>
  <c r="U216" i="1"/>
  <c r="V402" i="1"/>
  <c r="R8" i="1"/>
  <c r="W315" i="1"/>
  <c r="Q96" i="1"/>
  <c r="R278" i="1"/>
  <c r="U235" i="1"/>
  <c r="S540" i="1"/>
  <c r="R356" i="1"/>
  <c r="T796" i="1"/>
  <c r="W74" i="1"/>
  <c r="W611" i="1"/>
  <c r="R639" i="1"/>
  <c r="V247" i="1"/>
  <c r="V482" i="1"/>
  <c r="T625" i="1"/>
  <c r="P773" i="1"/>
  <c r="W112" i="1"/>
  <c r="R646" i="1"/>
  <c r="R176" i="1"/>
  <c r="P752" i="1"/>
  <c r="U205" i="1"/>
  <c r="Q563" i="1"/>
  <c r="W645" i="1"/>
  <c r="V223" i="1"/>
  <c r="P84" i="1"/>
  <c r="Q875" i="1"/>
  <c r="V116" i="1"/>
  <c r="R412" i="1"/>
  <c r="P290" i="1"/>
  <c r="W354" i="1"/>
  <c r="Q396" i="1"/>
  <c r="U37" i="1"/>
  <c r="S443" i="1"/>
  <c r="W486" i="1"/>
  <c r="S36" i="1"/>
  <c r="Q580" i="1"/>
  <c r="S998" i="1"/>
  <c r="V194" i="1"/>
  <c r="Q217" i="1"/>
  <c r="R820" i="1"/>
  <c r="U336" i="1"/>
  <c r="R342" i="1"/>
  <c r="R129" i="1"/>
  <c r="T12" i="1"/>
  <c r="P532" i="1"/>
  <c r="S237" i="1"/>
  <c r="U621" i="1"/>
  <c r="R606" i="1"/>
  <c r="P535" i="1"/>
  <c r="V382" i="1"/>
  <c r="Q204" i="1"/>
  <c r="P678" i="1"/>
  <c r="T159" i="1"/>
  <c r="Q394" i="1"/>
  <c r="V141" i="1"/>
  <c r="P457" i="1"/>
  <c r="R93" i="1"/>
  <c r="R11" i="1"/>
  <c r="V415" i="1"/>
  <c r="T173" i="1"/>
  <c r="U395" i="1"/>
  <c r="U503" i="1"/>
  <c r="P338" i="1"/>
  <c r="R163" i="1"/>
  <c r="T374" i="1"/>
  <c r="R308" i="1"/>
  <c r="T107" i="1"/>
  <c r="R283" i="1"/>
  <c r="Q452" i="1"/>
  <c r="T361" i="1"/>
  <c r="U463" i="1"/>
  <c r="Q726" i="1"/>
  <c r="V372" i="1"/>
  <c r="S833" i="1"/>
  <c r="S728" i="1"/>
  <c r="U339" i="1"/>
  <c r="S160" i="1"/>
  <c r="U542" i="1"/>
  <c r="P719" i="1"/>
  <c r="R131" i="1"/>
  <c r="W65" i="1"/>
  <c r="Q234" i="1"/>
  <c r="T266" i="1"/>
  <c r="S987" i="1"/>
  <c r="R174" i="1"/>
  <c r="P502" i="1"/>
  <c r="Q256" i="1"/>
  <c r="Q230" i="1"/>
  <c r="R626" i="1"/>
  <c r="P627" i="1"/>
  <c r="R580" i="1"/>
  <c r="W11" i="1"/>
  <c r="T405" i="1"/>
  <c r="V128" i="1"/>
  <c r="R537" i="1"/>
  <c r="Q344" i="1"/>
  <c r="R623" i="1"/>
  <c r="Q670" i="1"/>
  <c r="U85" i="1"/>
  <c r="V81" i="1"/>
  <c r="P559" i="1"/>
  <c r="T46" i="1"/>
  <c r="U501" i="1"/>
  <c r="S267" i="1"/>
  <c r="P131" i="1"/>
  <c r="R212" i="1"/>
  <c r="T291" i="1"/>
  <c r="U369" i="1"/>
  <c r="W259" i="1"/>
  <c r="U524" i="1"/>
  <c r="S642" i="1"/>
  <c r="P505" i="1"/>
  <c r="U291" i="1"/>
  <c r="R405" i="1"/>
  <c r="T132" i="1"/>
  <c r="U260" i="1"/>
  <c r="P278" i="1"/>
  <c r="T176" i="1"/>
  <c r="U658" i="1"/>
  <c r="P954" i="1"/>
  <c r="R9" i="1"/>
  <c r="U479" i="1"/>
  <c r="U448" i="1"/>
  <c r="P213" i="1"/>
  <c r="P424" i="1"/>
  <c r="R137" i="1"/>
  <c r="V511" i="1"/>
  <c r="S260" i="1"/>
  <c r="R58" i="1"/>
  <c r="P319" i="1"/>
  <c r="R503" i="1"/>
  <c r="W632" i="1"/>
  <c r="U631" i="1"/>
  <c r="P556" i="1"/>
  <c r="P38" i="1"/>
  <c r="T364" i="1"/>
  <c r="T347" i="1"/>
  <c r="Q831" i="1"/>
  <c r="U605" i="1"/>
  <c r="Q523" i="1"/>
  <c r="P160" i="1"/>
  <c r="R523" i="1"/>
  <c r="T282" i="1"/>
  <c r="S142" i="1"/>
  <c r="V7" i="1"/>
  <c r="P122" i="1"/>
  <c r="W562" i="1"/>
  <c r="V309" i="1"/>
  <c r="W221" i="1"/>
  <c r="Q264" i="1"/>
  <c r="T157" i="1"/>
  <c r="P140" i="1"/>
  <c r="S346" i="1"/>
  <c r="V501" i="1"/>
  <c r="R508" i="1"/>
  <c r="U361" i="1"/>
  <c r="R64" i="1"/>
  <c r="P324" i="1"/>
  <c r="T877" i="1"/>
  <c r="U172" i="1"/>
  <c r="P35" i="1"/>
  <c r="R141" i="1"/>
  <c r="R468" i="1"/>
  <c r="R300" i="1"/>
  <c r="Q358" i="1"/>
  <c r="R73" i="1"/>
  <c r="V299" i="1"/>
  <c r="V594" i="1"/>
  <c r="U142" i="1"/>
  <c r="T241" i="1"/>
  <c r="P577" i="1"/>
  <c r="R540" i="1"/>
  <c r="S120" i="1"/>
  <c r="R258" i="1"/>
  <c r="W271" i="1"/>
  <c r="S553" i="1"/>
  <c r="T150" i="1"/>
  <c r="W412" i="1"/>
  <c r="S507" i="1"/>
  <c r="W261" i="1"/>
  <c r="P638" i="1"/>
  <c r="T77" i="1"/>
  <c r="T619" i="1"/>
  <c r="W150" i="1"/>
  <c r="W69" i="1"/>
  <c r="Q190" i="1"/>
  <c r="V348" i="1"/>
  <c r="P48" i="1"/>
  <c r="V305" i="1"/>
  <c r="Q963" i="1"/>
  <c r="R1053" i="1"/>
  <c r="Q105" i="1"/>
  <c r="V164" i="1"/>
  <c r="R65" i="1"/>
  <c r="R85" i="1"/>
  <c r="U445" i="1"/>
  <c r="P370" i="1"/>
  <c r="R252" i="1"/>
  <c r="V715" i="1"/>
  <c r="W131" i="1"/>
  <c r="R428" i="1"/>
  <c r="P617" i="1"/>
  <c r="S421" i="1"/>
  <c r="V253" i="1"/>
  <c r="W71" i="1"/>
  <c r="S407" i="1"/>
  <c r="W219" i="1"/>
  <c r="W177" i="1"/>
  <c r="V206" i="1"/>
  <c r="U345" i="1"/>
  <c r="S64" i="1"/>
  <c r="Q502" i="1"/>
  <c r="Q87" i="1"/>
  <c r="W195" i="1"/>
  <c r="U294" i="1"/>
  <c r="T528" i="1"/>
  <c r="Q176" i="1"/>
  <c r="T80" i="1"/>
  <c r="W121" i="1"/>
  <c r="T353" i="1"/>
  <c r="R542" i="1"/>
  <c r="S656" i="1"/>
  <c r="V463" i="1"/>
  <c r="S136" i="1"/>
  <c r="P60" i="1"/>
  <c r="S59" i="1"/>
  <c r="Q482" i="1"/>
  <c r="P217" i="1"/>
  <c r="P582" i="1"/>
  <c r="Q493" i="1"/>
  <c r="P386" i="1"/>
  <c r="S463" i="1"/>
  <c r="S953" i="1"/>
  <c r="Q86" i="1"/>
  <c r="R501" i="1"/>
  <c r="W483" i="1"/>
  <c r="W353" i="1"/>
  <c r="U121" i="1"/>
  <c r="S221" i="1"/>
  <c r="P568" i="1"/>
  <c r="R535" i="1"/>
  <c r="R268" i="1"/>
  <c r="Q269" i="1"/>
  <c r="R155" i="1"/>
  <c r="U46" i="1"/>
  <c r="P281" i="1"/>
  <c r="V124" i="1"/>
  <c r="Q287" i="1"/>
  <c r="V308" i="1"/>
  <c r="P94" i="1"/>
  <c r="W430" i="1"/>
  <c r="P493" i="1"/>
  <c r="S90" i="1"/>
  <c r="S559" i="1"/>
  <c r="P320" i="1"/>
  <c r="V258" i="1"/>
  <c r="T740" i="1"/>
  <c r="Q690" i="1"/>
  <c r="V441" i="1"/>
  <c r="W454" i="1"/>
  <c r="R102" i="1"/>
  <c r="S259" i="1"/>
  <c r="R449" i="1"/>
  <c r="Q107" i="1"/>
  <c r="T259" i="1"/>
  <c r="V444" i="1"/>
  <c r="R314" i="1"/>
  <c r="P408" i="1"/>
  <c r="T420" i="1"/>
  <c r="P267" i="1"/>
  <c r="S668" i="1"/>
  <c r="U156" i="1"/>
  <c r="T296" i="1"/>
  <c r="Q195" i="1"/>
  <c r="Q174" i="1"/>
  <c r="Q145" i="1"/>
  <c r="V117" i="1"/>
  <c r="S222" i="1"/>
  <c r="Q376" i="1"/>
  <c r="S710" i="1"/>
  <c r="T66" i="1"/>
  <c r="P260" i="1"/>
  <c r="W359" i="1"/>
  <c r="R205" i="1"/>
  <c r="W286" i="1"/>
  <c r="P310" i="1"/>
  <c r="W58" i="1"/>
  <c r="T283" i="1"/>
  <c r="R388" i="1"/>
  <c r="S310" i="1"/>
  <c r="S468" i="1"/>
  <c r="U190" i="1"/>
  <c r="R350" i="1"/>
  <c r="W174" i="1"/>
  <c r="Q258" i="1"/>
  <c r="W59" i="1"/>
  <c r="V209" i="1"/>
  <c r="W498" i="1"/>
  <c r="R909" i="1"/>
  <c r="P357" i="1"/>
  <c r="W700" i="1"/>
  <c r="S77" i="1"/>
  <c r="V636" i="1"/>
  <c r="V436" i="1"/>
  <c r="V86" i="1"/>
  <c r="V311" i="1"/>
  <c r="Q512" i="1"/>
  <c r="P470" i="1"/>
  <c r="R483" i="1"/>
  <c r="Q15" i="1"/>
  <c r="S95" i="1"/>
  <c r="V559" i="1"/>
  <c r="V183" i="1"/>
  <c r="S133" i="1"/>
  <c r="Q351" i="1"/>
  <c r="U457" i="1"/>
  <c r="Q533" i="1"/>
  <c r="R418" i="1"/>
  <c r="V357" i="1"/>
  <c r="Q69" i="1"/>
  <c r="T311" i="1"/>
  <c r="U391" i="1"/>
  <c r="T590" i="1"/>
  <c r="S173" i="1"/>
  <c r="W391" i="1"/>
  <c r="T188" i="1"/>
  <c r="V109" i="1"/>
  <c r="T69" i="1"/>
  <c r="W130" i="1"/>
  <c r="W230" i="1"/>
  <c r="T231" i="1"/>
  <c r="S552" i="1"/>
  <c r="U130" i="1"/>
  <c r="P86" i="1"/>
  <c r="T333" i="1"/>
  <c r="T628" i="1"/>
  <c r="S764" i="1"/>
  <c r="W626" i="1"/>
  <c r="S94" i="1"/>
  <c r="Q37" i="1"/>
  <c r="R297" i="1"/>
  <c r="R315" i="1"/>
  <c r="U319" i="1"/>
  <c r="V645" i="1"/>
  <c r="S584" i="1"/>
  <c r="P876" i="1"/>
  <c r="T598" i="1"/>
  <c r="R127" i="1"/>
  <c r="U97" i="1"/>
  <c r="R232" i="1"/>
  <c r="Q3" i="1"/>
  <c r="Q70" i="1"/>
  <c r="W183" i="1"/>
  <c r="S65" i="1"/>
  <c r="W488" i="1"/>
  <c r="T356" i="1"/>
  <c r="S63" i="1"/>
  <c r="S561" i="1"/>
  <c r="T450" i="1"/>
  <c r="U648" i="1"/>
  <c r="T256" i="1"/>
  <c r="W460" i="1"/>
  <c r="T524" i="1"/>
  <c r="T545" i="1"/>
  <c r="S436" i="1"/>
  <c r="R253" i="1"/>
  <c r="T244" i="1"/>
  <c r="S156" i="1"/>
  <c r="Q591" i="1"/>
  <c r="Q547" i="1"/>
  <c r="V165" i="1"/>
  <c r="Q361" i="1"/>
  <c r="T288" i="1"/>
  <c r="S96" i="1"/>
  <c r="R325" i="1"/>
  <c r="T449" i="1"/>
  <c r="U437" i="1"/>
  <c r="W329" i="1"/>
  <c r="S473" i="1"/>
  <c r="Q558" i="1"/>
  <c r="Q407" i="1"/>
  <c r="W57" i="1"/>
  <c r="W439" i="1"/>
  <c r="W328" i="1"/>
  <c r="V153" i="1"/>
  <c r="S70" i="1"/>
  <c r="V241" i="1"/>
  <c r="P888" i="1"/>
  <c r="Q262" i="1"/>
  <c r="R1006" i="1"/>
  <c r="T785" i="1"/>
  <c r="R458" i="1"/>
  <c r="U199" i="1"/>
  <c r="P193" i="1"/>
  <c r="P596" i="1"/>
  <c r="P490" i="1"/>
  <c r="T503" i="1"/>
  <c r="Q272" i="1"/>
  <c r="R513" i="1"/>
  <c r="R518" i="1"/>
  <c r="S116" i="1"/>
  <c r="V315" i="1"/>
  <c r="R180" i="1"/>
  <c r="R507" i="1"/>
  <c r="V162" i="1"/>
  <c r="U525" i="1"/>
  <c r="P402" i="1"/>
  <c r="V339" i="1"/>
  <c r="Q442" i="1"/>
  <c r="Q209" i="1"/>
  <c r="T48" i="1"/>
  <c r="R625" i="1"/>
  <c r="S248" i="1"/>
  <c r="S176" i="1"/>
  <c r="V373" i="1"/>
  <c r="S38" i="1"/>
  <c r="T488" i="1"/>
  <c r="U551" i="1"/>
  <c r="Q120" i="1"/>
  <c r="P527" i="1"/>
  <c r="V313" i="1"/>
  <c r="U387" i="1"/>
  <c r="S54" i="1"/>
  <c r="R66" i="1"/>
  <c r="U114" i="1"/>
  <c r="R677" i="1"/>
  <c r="Q478" i="1"/>
  <c r="T129" i="1"/>
  <c r="U459" i="1"/>
  <c r="P702" i="1"/>
  <c r="U166" i="1"/>
  <c r="U725" i="1"/>
  <c r="S608" i="1"/>
  <c r="V96" i="1"/>
  <c r="Q118" i="1"/>
  <c r="W52" i="1"/>
  <c r="U63" i="1"/>
  <c r="P206" i="1"/>
  <c r="W171" i="1"/>
  <c r="P228" i="1"/>
  <c r="S399" i="1"/>
  <c r="S657" i="1"/>
  <c r="R230" i="1"/>
  <c r="T96" i="1"/>
  <c r="P227" i="1"/>
  <c r="U560" i="1"/>
  <c r="Q308" i="1"/>
  <c r="P6" i="1"/>
  <c r="S163" i="1"/>
  <c r="U245" i="1"/>
  <c r="P401" i="1"/>
  <c r="R13" i="1"/>
  <c r="T136" i="1"/>
  <c r="U8" i="1"/>
  <c r="Q399" i="1"/>
  <c r="V158" i="1"/>
  <c r="T149" i="1"/>
  <c r="W249" i="1"/>
  <c r="S212" i="1"/>
  <c r="T232" i="1"/>
  <c r="T717" i="1"/>
  <c r="Q517" i="1"/>
  <c r="Q103" i="1"/>
  <c r="W316" i="1"/>
  <c r="S334" i="1"/>
  <c r="W289" i="1"/>
  <c r="W108" i="1"/>
  <c r="P125" i="1"/>
  <c r="P77" i="1"/>
  <c r="U204" i="1"/>
  <c r="P422" i="1"/>
  <c r="Q572" i="1"/>
  <c r="Q592" i="1"/>
  <c r="U141" i="1"/>
  <c r="P1015" i="1"/>
  <c r="V538" i="1"/>
  <c r="W111" i="1"/>
  <c r="P210" i="1"/>
  <c r="R1003" i="1"/>
  <c r="P479" i="1"/>
  <c r="U43" i="1"/>
  <c r="P530" i="1"/>
  <c r="Q154" i="1"/>
  <c r="S571" i="1"/>
  <c r="V537" i="1"/>
  <c r="P464" i="1"/>
  <c r="W85" i="1"/>
  <c r="U474" i="1"/>
  <c r="R464" i="1"/>
  <c r="Q411" i="1"/>
  <c r="V92" i="1"/>
  <c r="W158" i="1"/>
  <c r="W63" i="1"/>
  <c r="Q601" i="1"/>
  <c r="T295" i="1"/>
  <c r="R722" i="1"/>
  <c r="P52" i="1"/>
  <c r="R814" i="1"/>
  <c r="R109" i="1"/>
  <c r="U564" i="1"/>
  <c r="W159" i="1"/>
  <c r="R477" i="1"/>
  <c r="P873" i="1"/>
  <c r="U227" i="1"/>
  <c r="T400" i="1"/>
  <c r="V330" i="1"/>
  <c r="Q463" i="1"/>
  <c r="S483" i="1"/>
  <c r="V101" i="1"/>
  <c r="Q62" i="1"/>
  <c r="S861" i="1"/>
  <c r="T768" i="1"/>
  <c r="S479" i="1"/>
  <c r="W560" i="1"/>
  <c r="S127" i="1"/>
  <c r="Q607" i="1"/>
  <c r="Q328" i="1"/>
  <c r="T272" i="1"/>
  <c r="T473" i="1"/>
  <c r="R35" i="1"/>
  <c r="W609" i="1"/>
  <c r="V33" i="1"/>
  <c r="U248" i="1"/>
  <c r="V149" i="1"/>
  <c r="V174" i="1"/>
  <c r="U200" i="1"/>
  <c r="W330" i="1"/>
  <c r="P436" i="1"/>
  <c r="W157" i="1"/>
  <c r="W717" i="1"/>
  <c r="U366" i="1"/>
  <c r="W278" i="1"/>
  <c r="V716" i="1"/>
  <c r="T133" i="1"/>
  <c r="W188" i="1"/>
  <c r="P652" i="1"/>
  <c r="Q381" i="1"/>
  <c r="V118" i="1"/>
  <c r="R194" i="1"/>
  <c r="U188" i="1"/>
  <c r="T529" i="1"/>
  <c r="Q441" i="1"/>
  <c r="V104" i="1"/>
  <c r="V331" i="1"/>
  <c r="S9" i="1"/>
  <c r="W466" i="1"/>
  <c r="P194" i="1"/>
  <c r="S746" i="1"/>
  <c r="Q52" i="1"/>
  <c r="W124" i="1"/>
  <c r="T165" i="1"/>
  <c r="S33" i="1"/>
  <c r="V275" i="1"/>
  <c r="T206" i="1"/>
  <c r="T847" i="1"/>
  <c r="U380" i="1"/>
  <c r="P121" i="1"/>
  <c r="T568" i="1"/>
  <c r="R323" i="1"/>
  <c r="Q128" i="1"/>
  <c r="T853" i="1"/>
  <c r="S890" i="1"/>
  <c r="T412" i="1"/>
  <c r="V147" i="1"/>
  <c r="V12" i="1"/>
  <c r="R712" i="1"/>
  <c r="U253" i="1"/>
  <c r="U54" i="1"/>
  <c r="U550" i="1"/>
  <c r="W732" i="1"/>
  <c r="U195" i="1"/>
  <c r="P321" i="1"/>
  <c r="P575" i="1"/>
  <c r="S339" i="1"/>
  <c r="T901" i="1"/>
  <c r="P548" i="1"/>
  <c r="V688" i="1"/>
  <c r="P739" i="1"/>
  <c r="T271" i="1"/>
  <c r="T131" i="1"/>
  <c r="U337" i="1"/>
  <c r="U127" i="1"/>
  <c r="W264" i="1"/>
  <c r="V587" i="1"/>
  <c r="V130" i="1"/>
  <c r="R146" i="1"/>
  <c r="T633" i="1"/>
  <c r="R295" i="1"/>
  <c r="T307" i="1"/>
  <c r="V568" i="1"/>
  <c r="T842" i="1"/>
  <c r="S191" i="1"/>
  <c r="U328" i="1"/>
  <c r="Q985" i="1"/>
  <c r="W265" i="1"/>
  <c r="R733" i="1"/>
  <c r="U233" i="1"/>
  <c r="R115" i="1"/>
  <c r="V575" i="1"/>
  <c r="U404" i="1"/>
  <c r="R331" i="1"/>
  <c r="S779" i="1"/>
  <c r="R758" i="1"/>
  <c r="R72" i="1"/>
  <c r="T392" i="1"/>
  <c r="S302" i="1"/>
  <c r="S185" i="1"/>
  <c r="Q401" i="1"/>
  <c r="P526" i="1"/>
  <c r="T203" i="1"/>
  <c r="V363" i="1"/>
  <c r="W542" i="1"/>
  <c r="V220" i="1"/>
  <c r="P563" i="1"/>
  <c r="S375" i="1"/>
  <c r="W661" i="1"/>
  <c r="P606" i="1"/>
  <c r="P380" i="1"/>
  <c r="U466" i="1"/>
  <c r="T6" i="1"/>
  <c r="V79" i="1"/>
  <c r="V191" i="1"/>
  <c r="S857" i="1"/>
  <c r="T117" i="1"/>
  <c r="Q492" i="1"/>
  <c r="R757" i="1"/>
  <c r="S158" i="1"/>
  <c r="S318" i="1"/>
  <c r="S330" i="1"/>
  <c r="W692" i="1"/>
  <c r="W251" i="1"/>
  <c r="P5" i="1"/>
  <c r="V52" i="1"/>
  <c r="Q336" i="1"/>
  <c r="T578" i="1"/>
  <c r="S465" i="1"/>
  <c r="P691" i="1"/>
  <c r="S362" i="1"/>
  <c r="S425" i="1"/>
  <c r="U353" i="1"/>
  <c r="V71" i="1"/>
  <c r="R857" i="1"/>
  <c r="W106" i="1"/>
  <c r="R150" i="1"/>
  <c r="R667" i="1"/>
  <c r="S438" i="1"/>
  <c r="V154" i="1"/>
  <c r="W636" i="1"/>
  <c r="S378" i="1"/>
  <c r="U66" i="1"/>
  <c r="Q101" i="1"/>
  <c r="Q326" i="1"/>
  <c r="S117" i="1"/>
  <c r="U269" i="1"/>
  <c r="P190" i="1"/>
  <c r="Q102" i="1"/>
  <c r="U169" i="1"/>
  <c r="U101" i="1"/>
  <c r="S783" i="1"/>
  <c r="W381" i="1"/>
  <c r="S489" i="1"/>
  <c r="T517" i="1"/>
  <c r="V159" i="1"/>
  <c r="V182" i="1"/>
  <c r="P117" i="1"/>
  <c r="T249" i="1"/>
  <c r="U535" i="1"/>
  <c r="Q170" i="1"/>
  <c r="S242" i="1"/>
  <c r="T51" i="1"/>
  <c r="S388" i="1"/>
  <c r="V214" i="1"/>
  <c r="Q524" i="1"/>
  <c r="S236" i="1"/>
  <c r="W492" i="1"/>
  <c r="P446" i="1"/>
  <c r="V431" i="1"/>
  <c r="Q9" i="1"/>
  <c r="R61" i="1"/>
  <c r="S502" i="1"/>
  <c r="P256" i="1"/>
  <c r="T42" i="1"/>
  <c r="Q168" i="1"/>
  <c r="Q221" i="1"/>
  <c r="W503" i="1"/>
  <c r="U64" i="1"/>
  <c r="P426" i="1"/>
  <c r="Q311" i="1"/>
  <c r="U175" i="1"/>
  <c r="R270" i="1"/>
  <c r="T7" i="1"/>
  <c r="Q504" i="1"/>
  <c r="P423" i="1"/>
  <c r="W416" i="1"/>
  <c r="W179" i="1"/>
  <c r="V528" i="1"/>
  <c r="T430" i="1"/>
  <c r="V155" i="1"/>
  <c r="V563" i="1"/>
  <c r="Q218" i="1"/>
  <c r="V297" i="1"/>
  <c r="V424" i="1"/>
  <c r="W199" i="1"/>
  <c r="V262" i="1"/>
  <c r="S107" i="1"/>
  <c r="R36" i="1"/>
  <c r="T807" i="1"/>
  <c r="T741" i="1"/>
  <c r="R359" i="1"/>
  <c r="U102" i="1"/>
  <c r="Q978" i="1"/>
  <c r="V566" i="1"/>
  <c r="P450" i="1"/>
  <c r="T551" i="1"/>
  <c r="Q453" i="1"/>
  <c r="W446" i="1"/>
  <c r="Q166" i="1"/>
  <c r="V103" i="1"/>
  <c r="U60" i="1"/>
  <c r="T305" i="1"/>
  <c r="R492" i="1"/>
  <c r="W212" i="1"/>
  <c r="P270" i="1"/>
  <c r="R378" i="1"/>
  <c r="T711" i="1"/>
  <c r="T112" i="1"/>
  <c r="S113" i="1"/>
  <c r="P388" i="1"/>
  <c r="W318" i="1"/>
  <c r="S275" i="1"/>
  <c r="T5" i="1"/>
  <c r="V260" i="1"/>
  <c r="T534" i="1"/>
  <c r="V243" i="1"/>
  <c r="P257" i="1"/>
  <c r="U584" i="1"/>
  <c r="V433" i="1"/>
  <c r="V203" i="1"/>
  <c r="R197" i="1"/>
  <c r="P348" i="1"/>
  <c r="Q820" i="1"/>
  <c r="V475" i="1"/>
  <c r="Q239" i="1"/>
  <c r="P212" i="1"/>
  <c r="R130" i="1"/>
  <c r="Q475" i="1"/>
  <c r="S196" i="1"/>
  <c r="R352" i="1"/>
  <c r="U104" i="1"/>
  <c r="T372" i="1"/>
  <c r="V6" i="1"/>
  <c r="P670" i="1"/>
  <c r="S342" i="1"/>
  <c r="U268" i="1"/>
  <c r="V185" i="1"/>
  <c r="S298" i="1"/>
  <c r="R846" i="1"/>
  <c r="R544" i="1"/>
  <c r="P885" i="1"/>
  <c r="Q280" i="1"/>
  <c r="T116" i="1"/>
  <c r="W457" i="1"/>
  <c r="P58" i="1"/>
  <c r="R177" i="1"/>
  <c r="U617" i="1"/>
  <c r="P869" i="1"/>
  <c r="P138" i="1"/>
  <c r="T609" i="1"/>
  <c r="T419" i="1"/>
  <c r="U155" i="1"/>
  <c r="T639" i="1"/>
  <c r="S265" i="1"/>
  <c r="P98" i="1"/>
  <c r="P789" i="1"/>
  <c r="Q515" i="1"/>
  <c r="W202" i="1"/>
  <c r="T647" i="1"/>
  <c r="W204" i="1"/>
  <c r="P482" i="1"/>
  <c r="T75" i="1"/>
  <c r="P385" i="1"/>
  <c r="P976" i="1"/>
  <c r="V414" i="1"/>
  <c r="Q708" i="1"/>
  <c r="T453" i="1"/>
  <c r="U263" i="1"/>
  <c r="V398" i="1"/>
  <c r="S326" i="1"/>
  <c r="R586" i="1"/>
  <c r="V218" i="1"/>
  <c r="Q7" i="1"/>
  <c r="T393" i="1"/>
  <c r="P952" i="1"/>
  <c r="U507" i="1"/>
  <c r="Q638" i="1"/>
  <c r="S261" i="1"/>
  <c r="T108" i="1"/>
  <c r="W164" i="1"/>
  <c r="P185" i="1"/>
  <c r="V125" i="1"/>
  <c r="T33" i="1"/>
  <c r="T279" i="1"/>
  <c r="S149" i="1"/>
  <c r="R107" i="1"/>
  <c r="P625" i="1"/>
  <c r="P323" i="1"/>
  <c r="P238" i="1"/>
  <c r="W665" i="1"/>
  <c r="S68" i="1"/>
  <c r="V204" i="1"/>
  <c r="V343" i="1"/>
  <c r="W229" i="1"/>
  <c r="T101" i="1"/>
  <c r="V290" i="1"/>
  <c r="W236" i="1"/>
  <c r="U685" i="1"/>
  <c r="W367" i="1"/>
  <c r="R211" i="1"/>
  <c r="V434" i="1"/>
  <c r="V362" i="1"/>
  <c r="V195" i="1"/>
  <c r="P816" i="1"/>
  <c r="U153" i="1"/>
  <c r="U667" i="1"/>
  <c r="T782" i="1"/>
  <c r="P142" i="1"/>
  <c r="W312" i="1"/>
  <c r="S394" i="1"/>
  <c r="Q593" i="1"/>
  <c r="W266" i="1"/>
  <c r="Q1039" i="1"/>
  <c r="U38" i="1"/>
  <c r="R582" i="1"/>
  <c r="W62" i="1"/>
  <c r="S616" i="1"/>
  <c r="U520" i="1"/>
  <c r="U35" i="1"/>
  <c r="Q242" i="1"/>
  <c r="P211" i="1"/>
  <c r="U202" i="1"/>
  <c r="S581" i="1"/>
  <c r="T627" i="1"/>
  <c r="U418" i="1"/>
  <c r="U122" i="1"/>
  <c r="V668" i="1"/>
  <c r="S74" i="1"/>
  <c r="Q49" i="1"/>
  <c r="W139" i="1"/>
  <c r="W4" i="1"/>
  <c r="W402" i="1"/>
  <c r="Q228" i="1"/>
  <c r="T128" i="1"/>
  <c r="T380" i="1"/>
  <c r="P362" i="1"/>
  <c r="T486" i="1"/>
  <c r="Q662" i="1"/>
  <c r="R262" i="1"/>
  <c r="W79" i="1"/>
  <c r="P176" i="1"/>
  <c r="R719" i="1"/>
  <c r="P366" i="1"/>
  <c r="V145" i="1"/>
  <c r="V276" i="1"/>
  <c r="T194" i="1"/>
  <c r="S296" i="1"/>
  <c r="R193" i="1"/>
  <c r="R638" i="1"/>
  <c r="V327" i="1"/>
  <c r="S793" i="1"/>
  <c r="R84" i="1"/>
  <c r="U284" i="1"/>
  <c r="S62" i="1"/>
  <c r="V439" i="1"/>
  <c r="W468" i="1"/>
  <c r="T495" i="1"/>
  <c r="Q181" i="1"/>
  <c r="S210" i="1"/>
  <c r="V291" i="1"/>
  <c r="U78" i="1"/>
  <c r="V114" i="1"/>
  <c r="Q211" i="1"/>
  <c r="V721" i="1"/>
  <c r="W476" i="1"/>
  <c r="V264" i="1"/>
  <c r="P322" i="1"/>
  <c r="S215" i="1"/>
  <c r="P110" i="1"/>
  <c r="R173" i="1"/>
  <c r="P512" i="1"/>
  <c r="Q172" i="1"/>
  <c r="U439" i="1"/>
  <c r="W309" i="1"/>
  <c r="R92" i="1"/>
  <c r="V50" i="1"/>
  <c r="W337" i="1"/>
  <c r="W407" i="1"/>
  <c r="S355" i="1"/>
  <c r="R659" i="1"/>
  <c r="V44" i="1"/>
  <c r="P144" i="1"/>
  <c r="T635" i="1"/>
  <c r="W688" i="1"/>
  <c r="P268" i="1"/>
  <c r="U383" i="1"/>
  <c r="U143" i="1"/>
  <c r="U49" i="1"/>
  <c r="T139" i="1"/>
  <c r="T304" i="1"/>
  <c r="W389" i="1"/>
  <c r="Q1031" i="1"/>
  <c r="R800" i="1"/>
  <c r="T162" i="1"/>
  <c r="Q833" i="1"/>
  <c r="S92" i="1"/>
  <c r="S209" i="1"/>
  <c r="T181" i="1"/>
  <c r="T417" i="1"/>
  <c r="R128" i="1"/>
  <c r="P499" i="1"/>
  <c r="R69" i="1"/>
  <c r="W475" i="1"/>
  <c r="W98" i="1"/>
  <c r="P787" i="1"/>
  <c r="V76" i="1"/>
  <c r="W46" i="1"/>
  <c r="V259" i="1"/>
  <c r="W160" i="1"/>
  <c r="Q406" i="1"/>
  <c r="U290" i="1"/>
  <c r="T682" i="1"/>
  <c r="S85" i="1"/>
  <c r="S168" i="1"/>
  <c r="S179" i="1"/>
  <c r="P738" i="1"/>
  <c r="W450" i="1"/>
  <c r="R238" i="1"/>
  <c r="V386" i="1"/>
  <c r="T662" i="1"/>
  <c r="U351" i="1"/>
  <c r="U288" i="1"/>
  <c r="V646" i="1"/>
  <c r="S110" i="1"/>
  <c r="T274" i="1"/>
  <c r="V409" i="1"/>
  <c r="U390" i="1"/>
  <c r="Q201" i="1"/>
  <c r="Q40" i="1"/>
  <c r="T713" i="1"/>
  <c r="R195" i="1"/>
  <c r="V80" i="1"/>
  <c r="U317" i="1"/>
  <c r="S194" i="1"/>
  <c r="Q497" i="1"/>
  <c r="Q223" i="1"/>
  <c r="P82" i="1"/>
  <c r="S273" i="1"/>
  <c r="Q525" i="1"/>
  <c r="W724" i="1"/>
  <c r="S521" i="1"/>
  <c r="P89" i="1"/>
  <c r="W324" i="1"/>
  <c r="U487" i="1"/>
  <c r="Q642" i="1"/>
  <c r="T575" i="1"/>
  <c r="P407" i="1"/>
  <c r="P305" i="1"/>
  <c r="W615" i="1"/>
  <c r="Q220" i="1"/>
  <c r="S289" i="1"/>
  <c r="V140" i="1"/>
  <c r="V599" i="1"/>
  <c r="S293" i="1"/>
  <c r="P560" i="1"/>
  <c r="P474" i="1"/>
  <c r="T103" i="1"/>
  <c r="S467" i="1"/>
  <c r="W122" i="1"/>
  <c r="W578" i="1"/>
  <c r="R533" i="1"/>
  <c r="S307" i="1"/>
  <c r="S4" i="1"/>
  <c r="W411" i="1"/>
  <c r="T301" i="1"/>
  <c r="P64" i="1"/>
  <c r="S306" i="1"/>
  <c r="Q675" i="1"/>
  <c r="S909" i="1"/>
  <c r="R121" i="1"/>
  <c r="Q419" i="1"/>
  <c r="U214" i="1"/>
  <c r="P231" i="1"/>
  <c r="V113" i="1"/>
  <c r="V378" i="1"/>
  <c r="R327" i="1"/>
  <c r="P500" i="1"/>
  <c r="Q459" i="1"/>
  <c r="Q503" i="1"/>
  <c r="V175" i="1"/>
  <c r="Q887" i="1"/>
  <c r="Q197" i="1"/>
  <c r="V88" i="1"/>
  <c r="U182" i="1"/>
  <c r="R455" i="1"/>
  <c r="U575" i="1"/>
  <c r="T155" i="1"/>
  <c r="S155" i="1"/>
  <c r="R55" i="1"/>
  <c r="W273" i="1"/>
  <c r="T37" i="1"/>
  <c r="S1039" i="1"/>
  <c r="S217" i="1"/>
  <c r="R981" i="1"/>
  <c r="R50" i="1"/>
  <c r="P300" i="1"/>
  <c r="V238" i="1"/>
  <c r="R247" i="1"/>
  <c r="T269" i="1"/>
  <c r="R426" i="1"/>
  <c r="P199" i="1"/>
  <c r="T78" i="1"/>
  <c r="Q187" i="1"/>
  <c r="T135" i="1"/>
  <c r="V180" i="1"/>
  <c r="Q305" i="1"/>
  <c r="U209" i="1"/>
  <c r="P619" i="1"/>
  <c r="U455" i="1"/>
  <c r="U240" i="1"/>
  <c r="W585" i="1"/>
  <c r="T456" i="1"/>
  <c r="T660" i="1"/>
  <c r="W292" i="1"/>
  <c r="T984" i="1"/>
  <c r="Q270" i="1"/>
  <c r="R46" i="1"/>
  <c r="W569" i="1"/>
  <c r="T160" i="1"/>
  <c r="Q836" i="1"/>
  <c r="Q99" i="1"/>
  <c r="U321" i="1"/>
  <c r="W92" i="1"/>
  <c r="W190" i="1"/>
  <c r="Q615" i="1"/>
  <c r="P126" i="1"/>
  <c r="W45" i="1"/>
  <c r="V91" i="1"/>
  <c r="T145" i="1"/>
  <c r="U301" i="1"/>
  <c r="T382" i="1"/>
  <c r="R132" i="1"/>
  <c r="Q588" i="1"/>
  <c r="T54" i="1"/>
  <c r="Q263" i="1"/>
  <c r="P506" i="1"/>
  <c r="P189" i="1"/>
  <c r="S517" i="1"/>
  <c r="P107" i="1"/>
  <c r="T88" i="1"/>
  <c r="R930" i="1"/>
  <c r="V437" i="1"/>
  <c r="P295" i="1"/>
  <c r="P435" i="1"/>
  <c r="T263" i="1"/>
  <c r="R267" i="1"/>
  <c r="S180" i="1"/>
  <c r="V732" i="1"/>
  <c r="Q253" i="1"/>
  <c r="P136" i="1"/>
  <c r="P296" i="1"/>
  <c r="W693" i="1"/>
  <c r="V685" i="1"/>
  <c r="T448" i="1"/>
  <c r="V425" i="1"/>
  <c r="W275" i="1"/>
  <c r="T402" i="1"/>
  <c r="P440" i="1"/>
  <c r="U375" i="1"/>
  <c r="Q508" i="1"/>
  <c r="S366" i="1"/>
  <c r="T907" i="1"/>
  <c r="U36" i="1"/>
  <c r="V106" i="1"/>
  <c r="P686" i="1"/>
  <c r="R99" i="1"/>
  <c r="P808" i="1"/>
  <c r="R553" i="1"/>
  <c r="U364" i="1"/>
  <c r="P557" i="1"/>
  <c r="R794" i="1"/>
  <c r="S852" i="1"/>
  <c r="T164" i="1"/>
  <c r="S52" i="1"/>
  <c r="T641" i="1"/>
  <c r="Q85" i="1"/>
  <c r="T439" i="1"/>
  <c r="W510" i="1"/>
  <c r="W554" i="1"/>
  <c r="T477" i="1"/>
  <c r="S1033" i="1"/>
  <c r="P716" i="1"/>
  <c r="T632" i="1"/>
  <c r="Q623" i="1"/>
  <c r="S488" i="1"/>
  <c r="V99" i="1"/>
  <c r="T658" i="1"/>
  <c r="U243" i="1"/>
  <c r="P114" i="1"/>
  <c r="P196" i="1"/>
  <c r="U576" i="1"/>
  <c r="Q577" i="1"/>
  <c r="U79" i="1"/>
  <c r="Q158" i="1"/>
  <c r="V168" i="1"/>
  <c r="W96" i="1"/>
  <c r="W117" i="1"/>
  <c r="S44" i="1"/>
  <c r="V674" i="1"/>
  <c r="W543" i="1"/>
  <c r="R381" i="1"/>
  <c r="W406" i="1"/>
  <c r="T87" i="1"/>
  <c r="S1004" i="1"/>
  <c r="T434" i="1"/>
  <c r="R753" i="1"/>
  <c r="V564" i="1"/>
  <c r="R424" i="1"/>
  <c r="U7" i="1"/>
  <c r="Q429" i="1"/>
  <c r="R318" i="1"/>
  <c r="U67" i="1"/>
  <c r="T804" i="1"/>
  <c r="S47" i="1"/>
  <c r="W220" i="1"/>
  <c r="R456" i="1"/>
  <c r="V684" i="1"/>
  <c r="R375" i="1"/>
  <c r="W325" i="1"/>
  <c r="U703" i="1"/>
  <c r="V123" i="1"/>
  <c r="V579" i="1"/>
  <c r="W88" i="1"/>
  <c r="R686" i="1"/>
  <c r="T504" i="1"/>
  <c r="P330" i="1"/>
  <c r="P562" i="1"/>
  <c r="R565" i="1"/>
  <c r="V487" i="1"/>
  <c r="Q799" i="1"/>
  <c r="V54" i="1"/>
  <c r="R136" i="1"/>
  <c r="Q55" i="1"/>
  <c r="U96" i="1"/>
  <c r="R519" i="1"/>
  <c r="Q340" i="1"/>
  <c r="P45" i="1"/>
  <c r="W679" i="1"/>
  <c r="T303" i="1"/>
  <c r="R311" i="1"/>
  <c r="W345" i="1"/>
  <c r="T343" i="1"/>
  <c r="T93" i="1"/>
  <c r="V84" i="1"/>
  <c r="Q238" i="1"/>
  <c r="W49" i="1"/>
  <c r="Q444" i="1"/>
  <c r="V227" i="1"/>
  <c r="V261" i="1"/>
  <c r="U454" i="1"/>
  <c r="V74" i="1"/>
  <c r="R354" i="1"/>
  <c r="W627" i="1"/>
  <c r="U675" i="1"/>
  <c r="S416" i="1"/>
  <c r="W366" i="1"/>
  <c r="W272" i="1"/>
  <c r="W82" i="1"/>
  <c r="P517" i="1"/>
  <c r="P170" i="1"/>
  <c r="S848" i="1"/>
  <c r="T199" i="1"/>
  <c r="Q286" i="1"/>
  <c r="Q355" i="1"/>
  <c r="P230" i="1"/>
  <c r="S870" i="1"/>
  <c r="S101" i="1"/>
  <c r="T873" i="1"/>
  <c r="Q387" i="1"/>
  <c r="T239" i="1"/>
  <c r="Q501" i="1"/>
  <c r="W539" i="1"/>
  <c r="T435" i="1"/>
  <c r="P244" i="1"/>
  <c r="S541" i="1"/>
  <c r="R380" i="1"/>
  <c r="W604" i="1"/>
  <c r="U276" i="1"/>
  <c r="T496" i="1"/>
  <c r="S126" i="1"/>
  <c r="S548" i="1"/>
  <c r="W319" i="1"/>
  <c r="P49" i="1"/>
  <c r="T34" i="1"/>
  <c r="S228" i="1"/>
  <c r="Q511" i="1"/>
  <c r="P277" i="1"/>
  <c r="V358" i="1"/>
  <c r="V611" i="1"/>
  <c r="U436" i="1"/>
  <c r="S202" i="1"/>
  <c r="V557" i="1"/>
  <c r="Q379" i="1"/>
  <c r="W296" i="1"/>
  <c r="S573" i="1"/>
  <c r="W424" i="1"/>
  <c r="V110" i="1"/>
  <c r="U220" i="1"/>
  <c r="V270" i="1"/>
  <c r="S367" i="1"/>
  <c r="R502" i="1"/>
  <c r="S249" i="1"/>
  <c r="S315" i="1"/>
  <c r="S71" i="1"/>
  <c r="S150" i="1"/>
  <c r="U84" i="1"/>
  <c r="P133" i="1"/>
  <c r="R188" i="1"/>
  <c r="P207" i="1"/>
  <c r="Q856" i="1"/>
  <c r="W552" i="1"/>
  <c r="T308" i="1"/>
  <c r="V495" i="1"/>
  <c r="T509" i="1"/>
  <c r="V698" i="1"/>
  <c r="Q93" i="1"/>
  <c r="S810" i="1"/>
  <c r="T187" i="1"/>
  <c r="R415" i="1"/>
  <c r="Q167" i="1"/>
  <c r="Q265" i="1"/>
  <c r="V202" i="1"/>
  <c r="S815" i="1"/>
  <c r="R74" i="1"/>
  <c r="T4" i="1"/>
  <c r="P578" i="1"/>
  <c r="R450" i="1"/>
  <c r="W705" i="1"/>
  <c r="U513" i="1"/>
  <c r="R119" i="1"/>
  <c r="T285" i="1"/>
  <c r="T261" i="1"/>
  <c r="R95" i="1"/>
  <c r="S41" i="1"/>
  <c r="Q345" i="1"/>
  <c r="S449" i="1"/>
  <c r="P455" i="1"/>
  <c r="R223" i="1"/>
  <c r="S43" i="1"/>
  <c r="T367" i="1"/>
  <c r="R152" i="1"/>
  <c r="P432" i="1"/>
  <c r="Q59" i="1"/>
  <c r="U109" i="1"/>
  <c r="Q89" i="1"/>
  <c r="S111" i="1"/>
  <c r="P102" i="1"/>
  <c r="P927" i="1"/>
  <c r="T324" i="1"/>
  <c r="W33" i="1"/>
  <c r="S197" i="1"/>
  <c r="T177" i="1"/>
  <c r="P255" i="1"/>
  <c r="V272" i="1"/>
  <c r="S108" i="1"/>
  <c r="U488" i="1"/>
  <c r="T124" i="1"/>
  <c r="U598" i="1"/>
</calcChain>
</file>

<file path=xl/sharedStrings.xml><?xml version="1.0" encoding="utf-8"?>
<sst xmlns="http://schemas.openxmlformats.org/spreadsheetml/2006/main" count="229" uniqueCount="142">
  <si>
    <t>0494</t>
  </si>
  <si>
    <t>Prefeitura Municipal de Pinhais</t>
  </si>
  <si>
    <t>Documento dos dados Orçamentarios</t>
  </si>
  <si>
    <t>Forma de Contratação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</si>
  <si>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</si>
  <si>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</si>
  <si>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</si>
  <si>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</si>
  <si>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</si>
  <si>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</si>
  <si>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</si>
  <si>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</si>
  <si>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</si>
  <si>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</si>
  <si>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</si>
  <si>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16</t>
  </si>
  <si>
    <t>00</t>
  </si>
  <si>
    <t>19</t>
  </si>
  <si>
    <t>99</t>
  </si>
  <si>
    <t>04</t>
  </si>
  <si>
    <t>20</t>
  </si>
  <si>
    <t>21</t>
  </si>
  <si>
    <t>28</t>
  </si>
  <si>
    <t>TOTAL 2023</t>
  </si>
  <si>
    <t>TOTAL 2024</t>
  </si>
  <si>
    <t>TOTAL 2025</t>
  </si>
  <si>
    <t>TOTAL GERAL</t>
  </si>
  <si>
    <t>01</t>
  </si>
  <si>
    <t>CAMARA</t>
  </si>
  <si>
    <t>02</t>
  </si>
  <si>
    <t>SEGOV</t>
  </si>
  <si>
    <t>03</t>
  </si>
  <si>
    <t>PROGE</t>
  </si>
  <si>
    <t>SEMAD</t>
  </si>
  <si>
    <t>05</t>
  </si>
  <si>
    <t>SEMED</t>
  </si>
  <si>
    <t>06</t>
  </si>
  <si>
    <t>SEMSA</t>
  </si>
  <si>
    <t>07</t>
  </si>
  <si>
    <t>SEMOP</t>
  </si>
  <si>
    <t>08</t>
  </si>
  <si>
    <t>SEMAS</t>
  </si>
  <si>
    <t>09</t>
  </si>
  <si>
    <t>SEPFO</t>
  </si>
  <si>
    <t>10</t>
  </si>
  <si>
    <t>SEMMA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</si>
  <si>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</si>
  <si>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</si>
  <si>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</si>
  <si>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</si>
  <si>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</si>
  <si>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</si>
  <si>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</si>
  <si>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</si>
  <si>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</si>
  <si>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</si>
  <si>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SEMUR</t>
  </si>
  <si>
    <t>17</t>
  </si>
  <si>
    <t>PREVIDÊNCIA</t>
  </si>
  <si>
    <t>18</t>
  </si>
  <si>
    <t>SESET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</si>
  <si>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</si>
  <si>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</si>
  <si>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</si>
  <si>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</si>
  <si>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</si>
  <si>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</si>
  <si>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</si>
  <si>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</si>
  <si>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</si>
  <si>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</si>
  <si>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</si>
  <si>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</si>
  <si>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</si>
  <si>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</si>
  <si>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</si>
  <si>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</si>
  <si>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</si>
  <si>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</si>
  <si>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</si>
  <si>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</si>
  <si>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</si>
  <si>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</si>
  <si>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</si>
  <si>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</si>
  <si>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</si>
  <si>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</si>
  <si>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</si>
  <si>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</si>
  <si>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</si>
  <si>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</si>
  <si>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</si>
  <si>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</si>
  <si>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</si>
  <si>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</si>
  <si>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</si>
  <si>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</si>
  <si>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</si>
  <si>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</si>
  <si>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</si>
  <si>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</si>
  <si>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</si>
  <si>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</si>
  <si>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</si>
  <si>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</si>
  <si>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</si>
  <si>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</si>
  <si>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</si>
  <si>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</si>
  <si>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</si>
  <si>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</si>
  <si>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</si>
  <si>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</si>
  <si>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</si>
  <si>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</si>
  <si>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</si>
  <si>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</si>
  <si>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</si>
  <si>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</si>
  <si>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</si>
  <si>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</si>
  <si>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</si>
  <si>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</si>
  <si>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</si>
  <si>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</si>
  <si>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</si>
  <si>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</si>
  <si>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</si>
  <si>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</si>
  <si>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</si>
  <si>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</si>
  <si>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</si>
  <si>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</si>
  <si>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</si>
  <si>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</si>
  <si>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</si>
  <si>
    <t>Municipal</t>
  </si>
  <si>
    <t>000</t>
  </si>
  <si>
    <t>Contrato</t>
  </si>
  <si>
    <t>2025</t>
  </si>
  <si>
    <t>639</t>
  </si>
  <si>
    <t>11.008.0027.0811.0083.2161.339039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</si>
</sst>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[$R$ -416]#,##0.00"/>
  </numFmts>
  <fonts count="15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sz val="9"/>
      <color rgb="FF000000"/>
      <name val="&quot;Google Sans Mono&quot;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sz val="9"/>
      <color rgb="FF000000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7">
    <xf numFmtId="0" fontId="0" fillId="0" borderId="0"/>
    <xf numFmtId="0" fontId="11" fillId="0" borderId="8"/>
    <xf numFmtId="44" fontId="1" fillId="0" borderId="8" applyFont="0" applyFill="0" applyBorder="0" applyAlignment="0" applyProtection="0"/>
    <xf numFmtId="0" fontId="1" fillId="0" borderId="8"/>
    <xf numFmtId="0" fontId="12" fillId="0" borderId="8"/>
    <xf numFmtId="0" fontId="13" fillId="0" borderId="8"/>
    <xf numFmtId="0" fontId="13" fillId="0" borderId="8"/>
  </cellStyleXfs>
  <cellXfs count="70">
    <xf numFmtId="0" fontId="0" fillId="0" borderId="0" xfId="0" applyFont="1" applyAlignme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49" fontId="1" fillId="2" borderId="9" xfId="0" applyNumberFormat="1" applyFont="1" applyFill="1" applyBorder="1" applyAlignment="1">
      <alignment horizontal="center"/>
    </xf>
    <xf numFmtId="49" fontId="4" fillId="3" borderId="0" xfId="0" applyNumberFormat="1" applyFont="1" applyFill="1" applyAlignment="1"/>
    <xf numFmtId="49" fontId="1" fillId="4" borderId="13" xfId="0" applyNumberFormat="1" applyFont="1" applyFill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left"/>
    </xf>
    <xf numFmtId="49" fontId="1" fillId="0" borderId="15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7" fillId="0" borderId="24" xfId="0" applyNumberFormat="1" applyFont="1" applyBorder="1" applyAlignment="1">
      <alignment horizontal="center"/>
    </xf>
    <xf numFmtId="49" fontId="7" fillId="0" borderId="25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49" fontId="7" fillId="0" borderId="27" xfId="0" applyNumberFormat="1" applyFont="1" applyBorder="1" applyAlignment="1">
      <alignment horizontal="center"/>
    </xf>
    <xf numFmtId="49" fontId="7" fillId="0" borderId="17" xfId="0" applyNumberFormat="1" applyFont="1" applyBorder="1" applyAlignment="1">
      <alignment horizontal="center"/>
    </xf>
    <xf numFmtId="49" fontId="8" fillId="0" borderId="24" xfId="0" applyNumberFormat="1" applyFont="1" applyBorder="1" applyAlignment="1">
      <alignment horizontal="center"/>
    </xf>
    <xf numFmtId="49" fontId="8" fillId="0" borderId="28" xfId="0" applyNumberFormat="1" applyFont="1" applyBorder="1" applyAlignment="1">
      <alignment horizontal="center"/>
    </xf>
    <xf numFmtId="49" fontId="8" fillId="0" borderId="29" xfId="0" applyNumberFormat="1" applyFont="1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49" fontId="9" fillId="0" borderId="29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164" fontId="10" fillId="0" borderId="29" xfId="0" applyNumberFormat="1" applyFont="1" applyBorder="1" applyAlignment="1">
      <alignment horizontal="center"/>
    </xf>
    <xf numFmtId="164" fontId="10" fillId="0" borderId="34" xfId="0" applyNumberFormat="1" applyFont="1" applyBorder="1" applyAlignment="1">
      <alignment horizontal="center"/>
    </xf>
    <xf numFmtId="49" fontId="9" fillId="0" borderId="34" xfId="0" applyNumberFormat="1" applyFont="1" applyBorder="1" applyAlignment="1">
      <alignment horizontal="center"/>
    </xf>
    <xf numFmtId="49" fontId="1" fillId="2" borderId="35" xfId="0" applyNumberFormat="1" applyFont="1" applyFill="1" applyBorder="1" applyAlignment="1">
      <alignment horizontal="center"/>
    </xf>
    <xf numFmtId="49" fontId="1" fillId="2" borderId="36" xfId="0" applyNumberFormat="1" applyFont="1" applyFill="1" applyBorder="1" applyAlignment="1">
      <alignment horizontal="center"/>
    </xf>
    <xf numFmtId="49" fontId="1" fillId="2" borderId="37" xfId="0" applyNumberFormat="1" applyFont="1" applyFill="1" applyBorder="1" applyAlignment="1">
      <alignment horizontal="center"/>
    </xf>
    <xf numFmtId="49" fontId="1" fillId="0" borderId="0" xfId="0" applyNumberFormat="1" applyFont="1"/>
    <xf numFmtId="0" fontId="0" fillId="0" borderId="0" xfId="0" applyFont="1" applyAlignment="1"/>
    <xf numFmtId="49" fontId="1" fillId="2" borderId="18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7" fillId="0" borderId="40" xfId="0" applyNumberFormat="1" applyFont="1" applyBorder="1" applyAlignment="1">
      <alignment horizontal="center"/>
    </xf>
    <xf numFmtId="0" fontId="0" fillId="0" borderId="0" xfId="0" applyFont="1" applyAlignment="1"/>
    <xf numFmtId="164" fontId="14" fillId="0" borderId="39" xfId="1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49" fontId="8" fillId="0" borderId="30" xfId="0" applyNumberFormat="1" applyFont="1" applyBorder="1" applyAlignment="1">
      <alignment horizontal="center"/>
    </xf>
    <xf numFmtId="49" fontId="8" fillId="0" borderId="36" xfId="0" applyNumberFormat="1" applyFont="1" applyBorder="1" applyAlignment="1">
      <alignment horizontal="center"/>
    </xf>
    <xf numFmtId="164" fontId="8" fillId="0" borderId="29" xfId="0" applyNumberFormat="1" applyFont="1" applyBorder="1" applyAlignment="1">
      <alignment horizontal="center"/>
    </xf>
    <xf numFmtId="49" fontId="14" fillId="0" borderId="39" xfId="1" applyNumberFormat="1" applyFont="1" applyBorder="1" applyAlignment="1">
      <alignment horizontal="center" vertical="center"/>
    </xf>
    <xf numFmtId="0" fontId="0" fillId="0" borderId="0" xfId="0" applyFont="1" applyAlignment="1"/>
    <xf numFmtId="49" fontId="10" fillId="0" borderId="31" xfId="0" applyNumberFormat="1" applyFont="1" applyBorder="1" applyAlignment="1">
      <alignment horizontal="center"/>
    </xf>
    <xf numFmtId="0" fontId="3" fillId="0" borderId="32" xfId="0" applyFont="1" applyBorder="1"/>
    <xf numFmtId="0" fontId="3" fillId="0" borderId="29" xfId="0" applyFont="1" applyBorder="1"/>
    <xf numFmtId="49" fontId="10" fillId="0" borderId="33" xfId="0" applyNumberFormat="1" applyFont="1" applyBorder="1" applyAlignment="1">
      <alignment horizontal="center"/>
    </xf>
    <xf numFmtId="0" fontId="0" fillId="0" borderId="0" xfId="0" applyFont="1" applyAlignment="1"/>
    <xf numFmtId="0" fontId="3" fillId="0" borderId="34" xfId="0" applyFont="1" applyBorder="1"/>
    <xf numFmtId="49" fontId="2" fillId="2" borderId="5" xfId="0" applyNumberFormat="1" applyFont="1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49" fontId="5" fillId="2" borderId="5" xfId="0" applyNumberFormat="1" applyFont="1" applyFill="1" applyBorder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49" fontId="1" fillId="0" borderId="14" xfId="0" applyNumberFormat="1" applyFont="1" applyBorder="1" applyAlignment="1">
      <alignment horizontal="center" vertical="top"/>
    </xf>
    <xf numFmtId="0" fontId="3" fillId="0" borderId="15" xfId="0" applyFont="1" applyBorder="1"/>
    <xf numFmtId="0" fontId="3" fillId="0" borderId="16" xfId="0" applyFont="1" applyBorder="1"/>
    <xf numFmtId="0" fontId="3" fillId="0" borderId="18" xfId="0" applyFont="1" applyBorder="1"/>
    <xf numFmtId="0" fontId="3" fillId="0" borderId="1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</cellXfs>
  <cellStyles count="7">
    <cellStyle name="Moeda 2" xfId="2"/>
    <cellStyle name="Normal" xfId="0" builtinId="0"/>
    <cellStyle name="Normal 2" xfId="3"/>
    <cellStyle name="Normal 2 2" xfId="5"/>
    <cellStyle name="Normal 3" xfId="4"/>
    <cellStyle name="Normal 4" xfId="6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54"/>
  <sheetViews>
    <sheetView showGridLines="0" tabSelected="1" workbookViewId="0">
      <selection activeCell="K22" sqref="K22"/>
    </sheetView>
  </sheetViews>
  <sheetFormatPr defaultRowHeight="15" customHeight="1"/>
  <cols>
    <col min="1" max="1" width="1.85546875" customWidth="1"/>
    <col min="2" max="2" width="3.42578125" customWidth="1"/>
    <col min="3" max="3" width="12.7109375" customWidth="1"/>
    <col min="4" max="4" width="32.85546875" bestFit="1" customWidth="1"/>
    <col min="5" max="5" width="32.7109375" bestFit="1" customWidth="1"/>
    <col min="6" max="6" width="20" bestFit="1" customWidth="1"/>
    <col min="7" max="7" width="18.42578125" bestFit="1" customWidth="1"/>
    <col min="8" max="8" width="12.28515625" bestFit="1" customWidth="1"/>
    <col min="9" max="9" width="22.5703125" bestFit="1" customWidth="1"/>
    <col min="10" max="10" width="14.42578125" bestFit="1" customWidth="1"/>
    <col min="11" max="11" width="12.140625" customWidth="1"/>
    <col min="12" max="12" width="20.28515625" hidden="1" customWidth="1"/>
    <col min="13" max="13" width="3.85546875" customWidth="1"/>
    <col min="14" max="15" width="8.7109375" customWidth="1"/>
    <col min="16" max="17" width="8.7109375" hidden="1" customWidth="1"/>
    <col min="18" max="18" width="34" hidden="1" customWidth="1"/>
    <col min="19" max="21" width="8.7109375" hidden="1" customWidth="1"/>
    <col min="22" max="22" width="34" hidden="1" customWidth="1"/>
    <col min="23" max="23" width="8.7109375" hidden="1" customWidth="1"/>
    <col min="24" max="32" width="8.7109375" customWidth="1"/>
  </cols>
  <sheetData>
    <row r="1" spans="1:32" ht="7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3.5" customHeight="1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21">
      <c r="A3" s="2"/>
      <c r="B3" s="6"/>
      <c r="C3" s="55" t="s">
        <v>1</v>
      </c>
      <c r="D3" s="56"/>
      <c r="E3" s="56"/>
      <c r="F3" s="56"/>
      <c r="G3" s="56"/>
      <c r="H3" s="56"/>
      <c r="I3" s="56"/>
      <c r="J3" s="57"/>
      <c r="K3" s="7"/>
      <c r="L3" s="7"/>
      <c r="M3" s="8"/>
      <c r="N3" s="2"/>
      <c r="O3" s="2"/>
      <c r="P3" s="9">
        <f ca="1">IFERROR(__xludf.DUMMYFUNCTION("IMPORTRANGE(""https://docs.google.com/spreadsheets/d/1BiojmyzFLJTGXbOmh3nZ4uJFOSnKYPz2hIAjVnzKLH8/edit#gid=1956144925"",""REFS!A3:H"")"),2025)</f>
        <v>2025</v>
      </c>
      <c r="Q3" s="2" t="str">
        <f ca="1">IFERROR(__xludf.DUMMYFUNCTION("""COMPUTED_VALUE"""),"LOA 2025")</f>
        <v>LOA 2025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21" customHeight="1">
      <c r="A4" s="2"/>
      <c r="B4" s="6"/>
      <c r="C4" s="58" t="s">
        <v>2</v>
      </c>
      <c r="D4" s="56"/>
      <c r="E4" s="56"/>
      <c r="F4" s="56"/>
      <c r="G4" s="56"/>
      <c r="H4" s="56"/>
      <c r="I4" s="56"/>
      <c r="J4" s="57"/>
      <c r="K4" s="7"/>
      <c r="L4" s="7"/>
      <c r="M4" s="8"/>
      <c r="N4" s="2"/>
      <c r="O4" s="2"/>
      <c r="P4" s="2">
        <f ca="1">IFERROR(__xludf.DUMMYFUNCTION("""COMPUTED_VALUE"""),2023)</f>
        <v>2023</v>
      </c>
      <c r="Q4" s="2" t="str">
        <f ca="1">IFERROR(__xludf.DUMMYFUNCTION("""COMPUTED_VALUE"""),"0001")</f>
        <v>0001</v>
      </c>
      <c r="R4" s="2" t="str">
        <f ca="1">IFERROR(__xludf.DUMMYFUNCTION("""COMPUTED_VALUE"""),"05.001.0012.0367.0074.5007.31.50.43")</f>
        <v>05.001.0012.0367.0074.5007.31.50.43</v>
      </c>
      <c r="S4" s="2" t="str">
        <f ca="1">IFERROR(__xludf.DUMMYFUNCTION("""COMPUTED_VALUE"""),"00102")</f>
        <v>00102</v>
      </c>
      <c r="T4" s="2">
        <f ca="1">IFERROR(__xludf.DUMMYFUNCTION("""COMPUTED_VALUE"""),2024)</f>
        <v>2024</v>
      </c>
      <c r="U4" s="2" t="str">
        <f ca="1">IFERROR(__xludf.DUMMYFUNCTION("""COMPUTED_VALUE"""),"0001")</f>
        <v>0001</v>
      </c>
      <c r="V4" s="2" t="str">
        <f ca="1">IFERROR(__xludf.DUMMYFUNCTION("""COMPUTED_VALUE"""),"02.001.0004.0121.0022.2104.33.90.30")</f>
        <v>02.001.0004.0121.0022.2104.33.90.30</v>
      </c>
      <c r="W4" s="2" t="str">
        <f ca="1">IFERROR(__xludf.DUMMYFUNCTION("""COMPUTED_VALUE"""),"0")</f>
        <v>0</v>
      </c>
      <c r="X4" s="2"/>
      <c r="Y4" s="2"/>
      <c r="Z4" s="2"/>
      <c r="AA4" s="2"/>
      <c r="AB4" s="2"/>
      <c r="AC4" s="2"/>
      <c r="AD4" s="2"/>
      <c r="AE4" s="2"/>
      <c r="AF4" s="2"/>
    </row>
    <row r="5" spans="1:32" ht="13.5" customHeight="1">
      <c r="A5" s="2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2"/>
      <c r="O5" s="2"/>
      <c r="P5" s="2">
        <f ca="1">IFERROR(__xludf.DUMMYFUNCTION("""COMPUTED_VALUE"""),2023)</f>
        <v>2023</v>
      </c>
      <c r="Q5" s="2" t="str">
        <f ca="1">IFERROR(__xludf.DUMMYFUNCTION("""COMPUTED_VALUE"""),"0002")</f>
        <v>0002</v>
      </c>
      <c r="R5" s="2" t="str">
        <f ca="1">IFERROR(__xludf.DUMMYFUNCTION("""COMPUTED_VALUE"""),"05.001.0012.0365.0074.5008.31.50.43")</f>
        <v>05.001.0012.0365.0074.5008.31.50.43</v>
      </c>
      <c r="S5" s="2" t="str">
        <f ca="1">IFERROR(__xludf.DUMMYFUNCTION("""COMPUTED_VALUE"""),"00102")</f>
        <v>00102</v>
      </c>
      <c r="T5" s="2">
        <f ca="1">IFERROR(__xludf.DUMMYFUNCTION("""COMPUTED_VALUE"""),2024)</f>
        <v>2024</v>
      </c>
      <c r="U5" s="2" t="str">
        <f ca="1">IFERROR(__xludf.DUMMYFUNCTION("""COMPUTED_VALUE"""),"0002")</f>
        <v>0002</v>
      </c>
      <c r="V5" s="2" t="str">
        <f ca="1">IFERROR(__xludf.DUMMYFUNCTION("""COMPUTED_VALUE"""),"02.001.0004.0121.0022.2104.33.90.33")</f>
        <v>02.001.0004.0121.0022.2104.33.90.33</v>
      </c>
      <c r="W5" s="2" t="str">
        <f ca="1">IFERROR(__xludf.DUMMYFUNCTION("""COMPUTED_VALUE"""),"0")</f>
        <v>0</v>
      </c>
      <c r="X5" s="2"/>
      <c r="Y5" s="2"/>
      <c r="Z5" s="2"/>
      <c r="AA5" s="2"/>
      <c r="AB5" s="2"/>
      <c r="AC5" s="2"/>
      <c r="AD5" s="2"/>
      <c r="AE5" s="2"/>
      <c r="AF5" s="2"/>
    </row>
    <row r="6" spans="1:32" ht="18.75">
      <c r="A6" s="2"/>
      <c r="B6" s="6"/>
      <c r="C6" s="59" t="s">
        <v>3</v>
      </c>
      <c r="D6" s="60"/>
      <c r="E6" s="61"/>
      <c r="F6" s="10" t="s">
        <v>138</v>
      </c>
      <c r="G6" s="7"/>
      <c r="H6" s="7"/>
      <c r="I6" s="7"/>
      <c r="J6" s="7"/>
      <c r="K6" s="7"/>
      <c r="L6" s="7"/>
      <c r="M6" s="8"/>
      <c r="N6" s="2"/>
      <c r="O6" s="2"/>
      <c r="P6" s="2">
        <f ca="1">IFERROR(__xludf.DUMMYFUNCTION("""COMPUTED_VALUE"""),2023)</f>
        <v>2023</v>
      </c>
      <c r="Q6" s="2" t="str">
        <f ca="1">IFERROR(__xludf.DUMMYFUNCTION("""COMPUTED_VALUE"""),"0003")</f>
        <v>0003</v>
      </c>
      <c r="R6" s="2" t="str">
        <f ca="1">IFERROR(__xludf.DUMMYFUNCTION("""COMPUTED_VALUE"""),"05.001.0004.0122.0074.6009.31.50.43")</f>
        <v>05.001.0004.0122.0074.6009.31.50.43</v>
      </c>
      <c r="S6" s="2" t="str">
        <f ca="1">IFERROR(__xludf.DUMMYFUNCTION("""COMPUTED_VALUE"""),"0000")</f>
        <v>0000</v>
      </c>
      <c r="T6" s="2">
        <f ca="1">IFERROR(__xludf.DUMMYFUNCTION("""COMPUTED_VALUE"""),2024)</f>
        <v>2024</v>
      </c>
      <c r="U6" s="2" t="str">
        <f ca="1">IFERROR(__xludf.DUMMYFUNCTION("""COMPUTED_VALUE"""),"0003")</f>
        <v>0003</v>
      </c>
      <c r="V6" s="2" t="str">
        <f ca="1">IFERROR(__xludf.DUMMYFUNCTION("""COMPUTED_VALUE"""),"02.001.0004.0121.0022.2104.33.90.35")</f>
        <v>02.001.0004.0121.0022.2104.33.90.35</v>
      </c>
      <c r="W6" s="2" t="str">
        <f ca="1">IFERROR(__xludf.DUMMYFUNCTION("""COMPUTED_VALUE"""),"0")</f>
        <v>0</v>
      </c>
      <c r="X6" s="2"/>
      <c r="Y6" s="2"/>
      <c r="Z6" s="2"/>
      <c r="AA6" s="2"/>
      <c r="AB6" s="2"/>
      <c r="AC6" s="2"/>
      <c r="AD6" s="2"/>
      <c r="AE6" s="2"/>
      <c r="AF6" s="2"/>
    </row>
    <row r="7" spans="1:32">
      <c r="A7" s="2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2"/>
      <c r="O7" s="2"/>
      <c r="P7" s="2">
        <f ca="1">IFERROR(__xludf.DUMMYFUNCTION("""COMPUTED_VALUE"""),2023)</f>
        <v>2023</v>
      </c>
      <c r="Q7" s="2" t="str">
        <f ca="1">IFERROR(__xludf.DUMMYFUNCTION("""COMPUTED_VALUE"""),"0004")</f>
        <v>0004</v>
      </c>
      <c r="R7" s="2" t="str">
        <f ca="1">IFERROR(__xludf.DUMMYFUNCTION("""COMPUTED_VALUE"""),"08.003.0008.0244.0118.2030.31.50.43")</f>
        <v>08.003.0008.0244.0118.2030.31.50.43</v>
      </c>
      <c r="S7" s="2" t="str">
        <f ca="1">IFERROR(__xludf.DUMMYFUNCTION("""COMPUTED_VALUE"""),"0000")</f>
        <v>0000</v>
      </c>
      <c r="T7" s="2">
        <f ca="1">IFERROR(__xludf.DUMMYFUNCTION("""COMPUTED_VALUE"""),2024)</f>
        <v>2024</v>
      </c>
      <c r="U7" s="2" t="str">
        <f ca="1">IFERROR(__xludf.DUMMYFUNCTION("""COMPUTED_VALUE"""),"0004")</f>
        <v>0004</v>
      </c>
      <c r="V7" s="2" t="str">
        <f ca="1">IFERROR(__xludf.DUMMYFUNCTION("""COMPUTED_VALUE"""),"02.001.0004.0121.0022.2104.33.90.36")</f>
        <v>02.001.0004.0121.0022.2104.33.90.36</v>
      </c>
      <c r="W7" s="2" t="str">
        <f ca="1">IFERROR(__xludf.DUMMYFUNCTION("""COMPUTED_VALUE"""),"0")</f>
        <v>0</v>
      </c>
      <c r="X7" s="2"/>
      <c r="Y7" s="2"/>
      <c r="Z7" s="2"/>
      <c r="AA7" s="2"/>
      <c r="AB7" s="2"/>
      <c r="AC7" s="2"/>
      <c r="AD7" s="2"/>
      <c r="AE7" s="2"/>
      <c r="AF7" s="2"/>
    </row>
    <row r="8" spans="1:32">
      <c r="A8" s="2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8"/>
      <c r="N8" s="2"/>
      <c r="O8" s="2"/>
      <c r="P8" s="2">
        <f ca="1">IFERROR(__xludf.DUMMYFUNCTION("""COMPUTED_VALUE"""),2023)</f>
        <v>2023</v>
      </c>
      <c r="Q8" s="2" t="str">
        <f ca="1">IFERROR(__xludf.DUMMYFUNCTION("""COMPUTED_VALUE"""),"0006")</f>
        <v>0006</v>
      </c>
      <c r="R8" s="2" t="str">
        <f ca="1">IFERROR(__xludf.DUMMYFUNCTION("""COMPUTED_VALUE"""),"08.007.0008.0241.0118.2031.31.50.43")</f>
        <v>08.007.0008.0241.0118.2031.31.50.43</v>
      </c>
      <c r="S8" s="2" t="str">
        <f ca="1">IFERROR(__xludf.DUMMYFUNCTION("""COMPUTED_VALUE"""),"0000")</f>
        <v>0000</v>
      </c>
      <c r="T8" s="2">
        <f ca="1">IFERROR(__xludf.DUMMYFUNCTION("""COMPUTED_VALUE"""),2024)</f>
        <v>2024</v>
      </c>
      <c r="U8" s="2" t="str">
        <f ca="1">IFERROR(__xludf.DUMMYFUNCTION("""COMPUTED_VALUE"""),"0005")</f>
        <v>0005</v>
      </c>
      <c r="V8" s="2" t="str">
        <f ca="1">IFERROR(__xludf.DUMMYFUNCTION("""COMPUTED_VALUE"""),"02.001.0004.0121.0022.2104.33.90.39")</f>
        <v>02.001.0004.0121.0022.2104.33.90.39</v>
      </c>
      <c r="W8" s="2" t="str">
        <f ca="1">IFERROR(__xludf.DUMMYFUNCTION("""COMPUTED_VALUE"""),"0")</f>
        <v>0</v>
      </c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2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8"/>
      <c r="N9" s="2"/>
      <c r="O9" s="2"/>
      <c r="P9" s="2">
        <f ca="1">IFERROR(__xludf.DUMMYFUNCTION("""COMPUTED_VALUE"""),2023)</f>
        <v>2023</v>
      </c>
      <c r="Q9" s="2" t="str">
        <f ca="1">IFERROR(__xludf.DUMMYFUNCTION("""COMPUTED_VALUE"""),"0007")</f>
        <v>0007</v>
      </c>
      <c r="R9" s="2" t="str">
        <f ca="1">IFERROR(__xludf.DUMMYFUNCTION("""COMPUTED_VALUE"""),"08.005.0008.0243.0118.6001.31.50.43")</f>
        <v>08.005.0008.0243.0118.6001.31.50.43</v>
      </c>
      <c r="S9" s="2" t="str">
        <f ca="1">IFERROR(__xludf.DUMMYFUNCTION("""COMPUTED_VALUE"""),"0000")</f>
        <v>0000</v>
      </c>
      <c r="T9" s="2">
        <f ca="1">IFERROR(__xludf.DUMMYFUNCTION("""COMPUTED_VALUE"""),2024)</f>
        <v>2024</v>
      </c>
      <c r="U9" s="2" t="str">
        <f ca="1">IFERROR(__xludf.DUMMYFUNCTION("""COMPUTED_VALUE"""),"0006")</f>
        <v>0006</v>
      </c>
      <c r="V9" s="2" t="str">
        <f ca="1">IFERROR(__xludf.DUMMYFUNCTION("""COMPUTED_VALUE"""),"02.001.0004.0121.0022.2104.33.90.40")</f>
        <v>02.001.0004.0121.0022.2104.33.90.40</v>
      </c>
      <c r="W9" s="2" t="str">
        <f ca="1">IFERROR(__xludf.DUMMYFUNCTION("""COMPUTED_VALUE"""),"0")</f>
        <v>0</v>
      </c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2"/>
      <c r="B10" s="6"/>
      <c r="C10" s="62" t="s">
        <v>4</v>
      </c>
      <c r="D10" s="63"/>
      <c r="E10" s="63"/>
      <c r="F10" s="63"/>
      <c r="G10" s="63"/>
      <c r="H10" s="63"/>
      <c r="I10" s="63"/>
      <c r="J10" s="63"/>
      <c r="K10" s="64"/>
      <c r="L10" s="11"/>
      <c r="M10" s="8"/>
      <c r="N10" s="2"/>
      <c r="O10" s="2"/>
      <c r="P10" s="2">
        <f ca="1">IFERROR(__xludf.DUMMYFUNCTION("""COMPUTED_VALUE"""),2023)</f>
        <v>2023</v>
      </c>
      <c r="Q10" s="2" t="str">
        <f ca="1">IFERROR(__xludf.DUMMYFUNCTION("""COMPUTED_VALUE"""),"0008")</f>
        <v>0008</v>
      </c>
      <c r="R10" s="2" t="str">
        <f ca="1">IFERROR(__xludf.DUMMYFUNCTION("""COMPUTED_VALUE"""),"08.005.0008.0243.0118.6001.31.50.43")</f>
        <v>08.005.0008.0243.0118.6001.31.50.43</v>
      </c>
      <c r="S10" s="2" t="str">
        <f ca="1">IFERROR(__xludf.DUMMYFUNCTION("""COMPUTED_VALUE"""),"00880")</f>
        <v>00880</v>
      </c>
      <c r="T10" s="2">
        <f ca="1">IFERROR(__xludf.DUMMYFUNCTION("""COMPUTED_VALUE"""),2024)</f>
        <v>2024</v>
      </c>
      <c r="U10" s="2" t="str">
        <f ca="1">IFERROR(__xludf.DUMMYFUNCTION("""COMPUTED_VALUE"""),"0007")</f>
        <v>0007</v>
      </c>
      <c r="V10" s="2" t="str">
        <f ca="1">IFERROR(__xludf.DUMMYFUNCTION("""COMPUTED_VALUE"""),"02.001.0004.0123.0022.1038.44.90.52")</f>
        <v>02.001.0004.0123.0022.1038.44.90.52</v>
      </c>
      <c r="W10" s="2" t="str">
        <f ca="1">IFERROR(__xludf.DUMMYFUNCTION("""COMPUTED_VALUE"""),"0")</f>
        <v>0</v>
      </c>
      <c r="X10" s="2"/>
      <c r="Y10" s="2"/>
      <c r="Z10" s="2"/>
      <c r="AA10" s="2"/>
      <c r="AB10" s="2"/>
      <c r="AC10" s="2"/>
      <c r="AD10" s="2"/>
      <c r="AE10" s="2"/>
      <c r="AF10" s="2"/>
    </row>
    <row r="11" spans="1:32">
      <c r="A11" s="2"/>
      <c r="B11" s="6"/>
      <c r="C11" s="65"/>
      <c r="D11" s="53"/>
      <c r="E11" s="53"/>
      <c r="F11" s="53"/>
      <c r="G11" s="53"/>
      <c r="H11" s="53"/>
      <c r="I11" s="53"/>
      <c r="J11" s="53"/>
      <c r="K11" s="66"/>
      <c r="L11" s="11"/>
      <c r="M11" s="8"/>
      <c r="N11" s="2"/>
      <c r="O11" s="2"/>
      <c r="P11" s="2">
        <f ca="1">IFERROR(__xludf.DUMMYFUNCTION("""COMPUTED_VALUE"""),2023)</f>
        <v>2023</v>
      </c>
      <c r="Q11" s="2" t="str">
        <f ca="1">IFERROR(__xludf.DUMMYFUNCTION("""COMPUTED_VALUE"""),"0009")</f>
        <v>0009</v>
      </c>
      <c r="R11" s="2" t="str">
        <f ca="1">IFERROR(__xludf.DUMMYFUNCTION("""COMPUTED_VALUE"""),"04.002.0004.0122.0040.2005.31.90.04")</f>
        <v>04.002.0004.0122.0040.2005.31.90.04</v>
      </c>
      <c r="S11" s="2" t="str">
        <f ca="1">IFERROR(__xludf.DUMMYFUNCTION("""COMPUTED_VALUE"""),"0000")</f>
        <v>0000</v>
      </c>
      <c r="T11" s="2">
        <f ca="1">IFERROR(__xludf.DUMMYFUNCTION("""COMPUTED_VALUE"""),2024)</f>
        <v>2024</v>
      </c>
      <c r="U11" s="2" t="str">
        <f ca="1">IFERROR(__xludf.DUMMYFUNCTION("""COMPUTED_VALUE"""),"0008")</f>
        <v>0008</v>
      </c>
      <c r="V11" s="2" t="str">
        <f ca="1">IFERROR(__xludf.DUMMYFUNCTION("""COMPUTED_VALUE"""),"02.007.0004.0122.0022.2146.33.90.30")</f>
        <v>02.007.0004.0122.0022.2146.33.90.30</v>
      </c>
      <c r="W11" s="2" t="str">
        <f ca="1">IFERROR(__xludf.DUMMYFUNCTION("""COMPUTED_VALUE"""),"0")</f>
        <v>0</v>
      </c>
      <c r="X11" s="2"/>
      <c r="Y11" s="2"/>
      <c r="Z11" s="2"/>
      <c r="AA11" s="2"/>
      <c r="AB11" s="2"/>
      <c r="AC11" s="2"/>
      <c r="AD11" s="2"/>
      <c r="AE11" s="2"/>
      <c r="AF11" s="2"/>
    </row>
    <row r="12" spans="1:32">
      <c r="A12" s="2"/>
      <c r="B12" s="6"/>
      <c r="C12" s="67"/>
      <c r="D12" s="68"/>
      <c r="E12" s="68"/>
      <c r="F12" s="68"/>
      <c r="G12" s="68"/>
      <c r="H12" s="68"/>
      <c r="I12" s="68"/>
      <c r="J12" s="68"/>
      <c r="K12" s="69"/>
      <c r="L12" s="11"/>
      <c r="M12" s="8"/>
      <c r="N12" s="2"/>
      <c r="O12" s="2"/>
      <c r="P12" s="2">
        <f ca="1">IFERROR(__xludf.DUMMYFUNCTION("""COMPUTED_VALUE"""),2023)</f>
        <v>2023</v>
      </c>
      <c r="Q12" s="2" t="str">
        <f ca="1">IFERROR(__xludf.DUMMYFUNCTION("""COMPUTED_VALUE"""),"0010")</f>
        <v>0010</v>
      </c>
      <c r="R12" s="2" t="str">
        <f ca="1">IFERROR(__xludf.DUMMYFUNCTION("""COMPUTED_VALUE"""),"05.004.0012.0365.0074.6016.31.90.04")</f>
        <v>05.004.0012.0365.0074.6016.31.90.04</v>
      </c>
      <c r="S12" s="2" t="str">
        <f ca="1">IFERROR(__xludf.DUMMYFUNCTION("""COMPUTED_VALUE"""),"00101")</f>
        <v>00101</v>
      </c>
      <c r="T12" s="2">
        <f ca="1">IFERROR(__xludf.DUMMYFUNCTION("""COMPUTED_VALUE"""),2024)</f>
        <v>2024</v>
      </c>
      <c r="U12" s="2" t="str">
        <f ca="1">IFERROR(__xludf.DUMMYFUNCTION("""COMPUTED_VALUE"""),"0015")</f>
        <v>0015</v>
      </c>
      <c r="V12" s="2" t="str">
        <f ca="1">IFERROR(__xludf.DUMMYFUNCTION("""COMPUTED_VALUE"""),"02.007.0004.0122.0022.2146.33.90.31")</f>
        <v>02.007.0004.0122.0022.2146.33.90.31</v>
      </c>
      <c r="W12" s="2" t="str">
        <f ca="1">IFERROR(__xludf.DUMMYFUNCTION("""COMPUTED_VALUE"""),"0")</f>
        <v>0</v>
      </c>
      <c r="X12" s="2"/>
      <c r="Y12" s="2"/>
      <c r="Z12" s="2"/>
      <c r="AA12" s="2"/>
      <c r="AB12" s="2"/>
      <c r="AC12" s="2"/>
      <c r="AD12" s="2"/>
      <c r="AE12" s="2"/>
      <c r="AF12" s="2"/>
    </row>
    <row r="13" spans="1:32">
      <c r="A13" s="2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8"/>
      <c r="N13" s="2"/>
      <c r="O13" s="2"/>
      <c r="P13" s="2">
        <f ca="1">IFERROR(__xludf.DUMMYFUNCTION("""COMPUTED_VALUE"""),2023)</f>
        <v>2023</v>
      </c>
      <c r="Q13" s="2" t="str">
        <f ca="1">IFERROR(__xludf.DUMMYFUNCTION("""COMPUTED_VALUE"""),"0011")</f>
        <v>0011</v>
      </c>
      <c r="R13" s="2" t="str">
        <f ca="1">IFERROR(__xludf.DUMMYFUNCTION("""COMPUTED_VALUE"""),"05.004.0012.0365.0074.6016.31.90.04")</f>
        <v>05.004.0012.0365.0074.6016.31.90.04</v>
      </c>
      <c r="S13" s="2" t="str">
        <f ca="1">IFERROR(__xludf.DUMMYFUNCTION("""COMPUTED_VALUE"""),"00103")</f>
        <v>00103</v>
      </c>
      <c r="T13" s="2">
        <f ca="1">IFERROR(__xludf.DUMMYFUNCTION("""COMPUTED_VALUE"""),2024)</f>
        <v>2024</v>
      </c>
      <c r="U13" s="2" t="str">
        <f ca="1">IFERROR(__xludf.DUMMYFUNCTION("""COMPUTED_VALUE"""),"0016")</f>
        <v>0016</v>
      </c>
      <c r="V13" s="2" t="str">
        <f ca="1">IFERROR(__xludf.DUMMYFUNCTION("""COMPUTED_VALUE"""),"02.007.0004.0122.0022.2146.33.90.32")</f>
        <v>02.007.0004.0122.0022.2146.33.90.32</v>
      </c>
      <c r="W13" s="2" t="str">
        <f ca="1">IFERROR(__xludf.DUMMYFUNCTION("""COMPUTED_VALUE"""),"0")</f>
        <v>0</v>
      </c>
      <c r="X13" s="2"/>
      <c r="Y13" s="2"/>
      <c r="Z13" s="2"/>
      <c r="AA13" s="2"/>
      <c r="AB13" s="2"/>
      <c r="AC13" s="2"/>
      <c r="AD13" s="2"/>
      <c r="AE13" s="2"/>
      <c r="AF13" s="2"/>
    </row>
    <row r="14" spans="1:32">
      <c r="A14" s="2"/>
      <c r="B14" s="6"/>
      <c r="C14" s="12" t="s">
        <v>5</v>
      </c>
      <c r="D14" s="13"/>
      <c r="E14" s="13"/>
      <c r="F14" s="13"/>
      <c r="G14" s="13"/>
      <c r="H14" s="13"/>
      <c r="I14" s="13"/>
      <c r="J14" s="14"/>
      <c r="K14" s="7"/>
      <c r="L14" s="7"/>
      <c r="M14" s="8"/>
      <c r="N14" s="2"/>
      <c r="O14" s="2"/>
      <c r="P14" s="2">
        <f ca="1">IFERROR(__xludf.DUMMYFUNCTION("""COMPUTED_VALUE"""),2023)</f>
        <v>2023</v>
      </c>
      <c r="Q14" s="2" t="str">
        <f ca="1">IFERROR(__xludf.DUMMYFUNCTION("""COMPUTED_VALUE"""),"0012")</f>
        <v>0012</v>
      </c>
      <c r="R14" s="2" t="str">
        <f ca="1">IFERROR(__xludf.DUMMYFUNCTION("""COMPUTED_VALUE"""),"05.004.0012.0361.0074.6017.31.90.04")</f>
        <v>05.004.0012.0361.0074.6017.31.90.04</v>
      </c>
      <c r="S14" s="2" t="str">
        <f ca="1">IFERROR(__xludf.DUMMYFUNCTION("""COMPUTED_VALUE"""),"00104")</f>
        <v>00104</v>
      </c>
      <c r="T14" s="2">
        <f ca="1">IFERROR(__xludf.DUMMYFUNCTION("""COMPUTED_VALUE"""),2024)</f>
        <v>2024</v>
      </c>
      <c r="U14" s="2" t="str">
        <f ca="1">IFERROR(__xludf.DUMMYFUNCTION("""COMPUTED_VALUE"""),"0017")</f>
        <v>0017</v>
      </c>
      <c r="V14" s="2" t="str">
        <f ca="1">IFERROR(__xludf.DUMMYFUNCTION("""COMPUTED_VALUE"""),"02.007.0004.0122.0022.2146.33.90.39")</f>
        <v>02.007.0004.0122.0022.2146.33.90.39</v>
      </c>
      <c r="W14" s="2" t="str">
        <f ca="1">IFERROR(__xludf.DUMMYFUNCTION("""COMPUTED_VALUE"""),"0")</f>
        <v>0</v>
      </c>
      <c r="X14" s="2"/>
      <c r="Y14" s="2"/>
      <c r="Z14" s="2"/>
      <c r="AA14" s="2"/>
      <c r="AB14" s="2"/>
      <c r="AC14" s="2"/>
      <c r="AD14" s="2"/>
      <c r="AE14" s="2"/>
      <c r="AF14" s="2"/>
    </row>
    <row r="15" spans="1:32">
      <c r="A15" s="2"/>
      <c r="B15" s="6"/>
      <c r="C15" s="15" t="s">
        <v>6</v>
      </c>
      <c r="D15" s="16" t="s">
        <v>7</v>
      </c>
      <c r="E15" s="38" t="s">
        <v>8</v>
      </c>
      <c r="F15" s="16" t="s">
        <v>9</v>
      </c>
      <c r="G15" s="16" t="s">
        <v>10</v>
      </c>
      <c r="H15" s="16" t="s">
        <v>11</v>
      </c>
      <c r="I15" s="16" t="s">
        <v>12</v>
      </c>
      <c r="J15" s="17" t="s">
        <v>13</v>
      </c>
      <c r="K15" s="18" t="s">
        <v>14</v>
      </c>
      <c r="L15" s="19"/>
      <c r="M15" s="8"/>
      <c r="N15" s="2"/>
      <c r="O15" s="2"/>
      <c r="P15" s="2">
        <f ca="1">IFERROR(__xludf.DUMMYFUNCTION("""COMPUTED_VALUE"""),2023)</f>
        <v>2023</v>
      </c>
      <c r="Q15" s="2" t="str">
        <f ca="1">IFERROR(__xludf.DUMMYFUNCTION("""COMPUTED_VALUE"""),"0013")</f>
        <v>0013</v>
      </c>
      <c r="R15" s="2" t="str">
        <f ca="1">IFERROR(__xludf.DUMMYFUNCTION("""COMPUTED_VALUE"""),"06.001.0010.0301.0094.2039.31.90.04")</f>
        <v>06.001.0010.0301.0094.2039.31.90.04</v>
      </c>
      <c r="S15" s="2" t="str">
        <f ca="1">IFERROR(__xludf.DUMMYFUNCTION("""COMPUTED_VALUE"""),"00303")</f>
        <v>00303</v>
      </c>
      <c r="T15" s="2">
        <f ca="1">IFERROR(__xludf.DUMMYFUNCTION("""COMPUTED_VALUE"""),2024)</f>
        <v>2024</v>
      </c>
      <c r="U15" s="2" t="str">
        <f ca="1">IFERROR(__xludf.DUMMYFUNCTION("""COMPUTED_VALUE"""),"0018")</f>
        <v>0018</v>
      </c>
      <c r="V15" s="2" t="str">
        <f ca="1">IFERROR(__xludf.DUMMYFUNCTION("""COMPUTED_VALUE"""),"02.008.0004.0122.0022.2148.33.90.30")</f>
        <v>02.008.0004.0122.0022.2148.33.90.30</v>
      </c>
      <c r="W15" s="2" t="str">
        <f ca="1">IFERROR(__xludf.DUMMYFUNCTION("""COMPUTED_VALUE"""),"0")</f>
        <v>0</v>
      </c>
      <c r="X15" s="2"/>
      <c r="Y15" s="2"/>
      <c r="Z15" s="2"/>
      <c r="AA15" s="2"/>
      <c r="AB15" s="2"/>
      <c r="AC15" s="2"/>
      <c r="AD15" s="2"/>
      <c r="AE15" s="2"/>
      <c r="AF15" s="2"/>
    </row>
    <row r="16" spans="1:32" s="34" customFormat="1">
      <c r="A16" s="2"/>
      <c r="B16" s="35"/>
      <c r="C16" s="20" t="s">
        <v>139</v>
      </c>
      <c r="D16" s="37" t="s">
        <v>140</v>
      </c>
      <c r="E16" s="47" t="s">
        <v>141</v>
      </c>
      <c r="F16" s="21" t="s">
        <v>18</v>
      </c>
      <c r="G16" s="21" t="s">
        <v>18</v>
      </c>
      <c r="H16" s="21" t="s">
        <v>137</v>
      </c>
      <c r="I16" s="22" t="s">
        <v>136</v>
      </c>
      <c r="J16" s="23">
        <v>168645</v>
      </c>
      <c r="K16" s="20" t="s">
        <v>47</v>
      </c>
      <c r="L16" s="24"/>
      <c r="M16" s="36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s="39" customFormat="1">
      <c r="A17" s="2"/>
      <c r="B17" s="35"/>
      <c r="C17" s="20"/>
      <c r="D17" s="37"/>
      <c r="E17" s="47"/>
      <c r="F17" s="21"/>
      <c r="G17" s="21"/>
      <c r="H17" s="21"/>
      <c r="I17" s="22"/>
      <c r="J17" s="23"/>
      <c r="K17" s="20"/>
      <c r="L17" s="24"/>
      <c r="M17" s="3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s="34" customFormat="1">
      <c r="A18" s="2"/>
      <c r="B18" s="35"/>
      <c r="C18" s="20"/>
      <c r="D18" s="37"/>
      <c r="E18" s="40"/>
      <c r="F18" s="21"/>
      <c r="G18" s="21"/>
      <c r="H18" s="21"/>
      <c r="I18" s="22"/>
      <c r="J18" s="23"/>
      <c r="K18" s="20"/>
      <c r="L18" s="24"/>
      <c r="M18" s="36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s="41" customFormat="1">
      <c r="A19" s="2"/>
      <c r="B19" s="35"/>
      <c r="C19" s="20"/>
      <c r="D19" s="37"/>
      <c r="E19" s="40"/>
      <c r="F19" s="21"/>
      <c r="G19" s="21"/>
      <c r="H19" s="21"/>
      <c r="I19" s="22"/>
      <c r="J19" s="23"/>
      <c r="K19" s="20"/>
      <c r="L19" s="24"/>
      <c r="M19" s="36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s="42" customFormat="1">
      <c r="A20" s="2"/>
      <c r="B20" s="35"/>
      <c r="C20" s="44"/>
      <c r="D20" s="45"/>
      <c r="E20" s="47"/>
      <c r="F20" s="22"/>
      <c r="G20" s="22"/>
      <c r="H20" s="22"/>
      <c r="I20" s="22"/>
      <c r="J20" s="46"/>
      <c r="K20" s="20"/>
      <c r="L20" s="24"/>
      <c r="M20" s="36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s="42" customFormat="1">
      <c r="A21" s="2"/>
      <c r="B21" s="35"/>
      <c r="C21" s="44"/>
      <c r="D21" s="45"/>
      <c r="E21" s="47"/>
      <c r="F21" s="22"/>
      <c r="G21" s="22"/>
      <c r="H21" s="22"/>
      <c r="I21" s="22"/>
      <c r="J21" s="46"/>
      <c r="K21" s="20"/>
      <c r="L21" s="24"/>
      <c r="M21" s="3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s="42" customFormat="1">
      <c r="A22" s="2"/>
      <c r="B22" s="35"/>
      <c r="C22" s="44"/>
      <c r="D22" s="45"/>
      <c r="E22" s="47"/>
      <c r="F22" s="22"/>
      <c r="G22" s="22"/>
      <c r="H22" s="22"/>
      <c r="I22" s="22"/>
      <c r="J22" s="46"/>
      <c r="K22" s="20"/>
      <c r="L22" s="24"/>
      <c r="M22" s="3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s="48" customFormat="1">
      <c r="A23" s="2"/>
      <c r="B23" s="35"/>
      <c r="C23" s="44"/>
      <c r="D23" s="45"/>
      <c r="E23" s="47"/>
      <c r="F23" s="22"/>
      <c r="G23" s="22"/>
      <c r="H23" s="22"/>
      <c r="I23" s="22"/>
      <c r="J23" s="46"/>
      <c r="K23" s="20"/>
      <c r="L23" s="24"/>
      <c r="M23" s="3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s="42" customFormat="1">
      <c r="A24" s="2"/>
      <c r="B24" s="35"/>
      <c r="C24" s="44"/>
      <c r="D24" s="45"/>
      <c r="E24" s="47"/>
      <c r="F24" s="22"/>
      <c r="G24" s="22"/>
      <c r="H24" s="22"/>
      <c r="I24" s="22"/>
      <c r="J24" s="46"/>
      <c r="K24" s="20"/>
      <c r="L24" s="24"/>
      <c r="M24" s="3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s="42" customFormat="1">
      <c r="A25" s="2"/>
      <c r="B25" s="35"/>
      <c r="C25" s="44"/>
      <c r="D25" s="45"/>
      <c r="E25" s="47"/>
      <c r="F25" s="22"/>
      <c r="G25" s="22"/>
      <c r="H25" s="22"/>
      <c r="I25" s="22"/>
      <c r="J25" s="46"/>
      <c r="K25" s="20"/>
      <c r="L25" s="24"/>
      <c r="M25" s="3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s="42" customFormat="1">
      <c r="A26" s="2"/>
      <c r="B26" s="35"/>
      <c r="C26" s="44"/>
      <c r="D26" s="45"/>
      <c r="E26" s="47"/>
      <c r="F26" s="22"/>
      <c r="G26" s="22"/>
      <c r="H26" s="22"/>
      <c r="I26" s="22"/>
      <c r="J26" s="46"/>
      <c r="K26" s="20"/>
      <c r="L26" s="24"/>
      <c r="M26" s="36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s="43" customFormat="1">
      <c r="A27" s="2"/>
      <c r="B27" s="35"/>
      <c r="C27" s="44"/>
      <c r="D27" s="45"/>
      <c r="E27" s="47"/>
      <c r="F27" s="22"/>
      <c r="G27" s="22"/>
      <c r="H27" s="22"/>
      <c r="I27" s="22"/>
      <c r="J27" s="46"/>
      <c r="K27" s="20"/>
      <c r="L27" s="24"/>
      <c r="M27" s="36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s="43" customFormat="1">
      <c r="A28" s="2"/>
      <c r="B28" s="35"/>
      <c r="C28" s="44"/>
      <c r="D28" s="45"/>
      <c r="E28" s="47"/>
      <c r="F28" s="22"/>
      <c r="G28" s="22"/>
      <c r="H28" s="22"/>
      <c r="I28" s="22"/>
      <c r="J28" s="46"/>
      <c r="K28" s="20"/>
      <c r="L28" s="24"/>
      <c r="M28" s="3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s="42" customFormat="1">
      <c r="A29" s="2"/>
      <c r="B29" s="35"/>
      <c r="C29" s="44"/>
      <c r="D29" s="45"/>
      <c r="E29" s="47"/>
      <c r="F29" s="22"/>
      <c r="G29" s="22"/>
      <c r="H29" s="22"/>
      <c r="I29" s="22"/>
      <c r="J29" s="46"/>
      <c r="K29" s="20"/>
      <c r="L29" s="24"/>
      <c r="M29" s="3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s="42" customFormat="1">
      <c r="A30" s="2"/>
      <c r="B30" s="35"/>
      <c r="C30" s="44"/>
      <c r="D30" s="45"/>
      <c r="E30" s="47"/>
      <c r="F30" s="22"/>
      <c r="G30" s="22"/>
      <c r="H30" s="22"/>
      <c r="I30" s="22"/>
      <c r="J30" s="46"/>
      <c r="K30" s="20"/>
      <c r="L30" s="24"/>
      <c r="M30" s="3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s="42" customFormat="1">
      <c r="A31" s="2"/>
      <c r="B31" s="35"/>
      <c r="C31" s="44"/>
      <c r="D31" s="45"/>
      <c r="E31" s="47"/>
      <c r="F31" s="22"/>
      <c r="G31" s="22"/>
      <c r="H31" s="22"/>
      <c r="I31" s="22"/>
      <c r="J31" s="46"/>
      <c r="K31" s="20"/>
      <c r="L31" s="24"/>
      <c r="M31" s="36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s="43" customFormat="1">
      <c r="A32" s="2"/>
      <c r="B32" s="35"/>
      <c r="C32" s="44"/>
      <c r="D32" s="45"/>
      <c r="E32" s="47"/>
      <c r="F32" s="22"/>
      <c r="G32" s="22"/>
      <c r="H32" s="22"/>
      <c r="I32" s="22"/>
      <c r="J32" s="46"/>
      <c r="K32" s="20"/>
      <c r="L32" s="24"/>
      <c r="M32" s="36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customHeight="1">
      <c r="A33" s="2"/>
      <c r="B33" s="6"/>
      <c r="C33" s="44"/>
      <c r="D33" s="45"/>
      <c r="E33" s="47"/>
      <c r="F33" s="22"/>
      <c r="G33" s="22"/>
      <c r="H33" s="22"/>
      <c r="I33" s="22"/>
      <c r="J33" s="46"/>
      <c r="K33" s="20"/>
      <c r="L33" s="26"/>
      <c r="M33" s="8"/>
      <c r="N33" s="2"/>
      <c r="O33" s="2"/>
      <c r="P33" s="2">
        <f ca="1">IFERROR(__xludf.DUMMYFUNCTION("""COMPUTED_VALUE"""),2023)</f>
        <v>2023</v>
      </c>
      <c r="Q33" s="2" t="str">
        <f ca="1">IFERROR(__xludf.DUMMYFUNCTION("""COMPUTED_VALUE"""),"0047")</f>
        <v>0047</v>
      </c>
      <c r="R33" s="2" t="str">
        <f ca="1">IFERROR(__xludf.DUMMYFUNCTION("""COMPUTED_VALUE"""),"05.004.0012.0365.0074.6016.31.90.13")</f>
        <v>05.004.0012.0365.0074.6016.31.90.13</v>
      </c>
      <c r="S33" s="2" t="str">
        <f ca="1">IFERROR(__xludf.DUMMYFUNCTION("""COMPUTED_VALUE"""),"00103")</f>
        <v>00103</v>
      </c>
      <c r="T33" s="2">
        <f ca="1">IFERROR(__xludf.DUMMYFUNCTION("""COMPUTED_VALUE"""),2024)</f>
        <v>2024</v>
      </c>
      <c r="U33" s="2" t="str">
        <f ca="1">IFERROR(__xludf.DUMMYFUNCTION("""COMPUTED_VALUE"""),"0055")</f>
        <v>0055</v>
      </c>
      <c r="V33" s="2" t="str">
        <f ca="1">IFERROR(__xludf.DUMMYFUNCTION("""COMPUTED_VALUE"""),"04.002.0004.0122.0040.2005.31.90.04")</f>
        <v>04.002.0004.0122.0040.2005.31.90.04</v>
      </c>
      <c r="W33" s="2" t="str">
        <f ca="1">IFERROR(__xludf.DUMMYFUNCTION("""COMPUTED_VALUE"""),"0")</f>
        <v>0</v>
      </c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customHeight="1">
      <c r="A34" s="2"/>
      <c r="B34" s="6"/>
      <c r="C34" s="49" t="s">
        <v>23</v>
      </c>
      <c r="D34" s="50"/>
      <c r="E34" s="50"/>
      <c r="F34" s="50"/>
      <c r="G34" s="50"/>
      <c r="H34" s="50"/>
      <c r="I34" s="51"/>
      <c r="J34" s="27">
        <f ca="1">SUMIF(C16:J18,"2023",J16:J18)</f>
        <v>0</v>
      </c>
      <c r="K34" s="25"/>
      <c r="L34" s="26"/>
      <c r="M34" s="8"/>
      <c r="N34" s="2"/>
      <c r="O34" s="2"/>
      <c r="P34" s="2">
        <f ca="1">IFERROR(__xludf.DUMMYFUNCTION("""COMPUTED_VALUE"""),2023)</f>
        <v>2023</v>
      </c>
      <c r="Q34" s="2" t="str">
        <f ca="1">IFERROR(__xludf.DUMMYFUNCTION("""COMPUTED_VALUE"""),"0048")</f>
        <v>0048</v>
      </c>
      <c r="R34" s="2" t="str">
        <f ca="1">IFERROR(__xludf.DUMMYFUNCTION("""COMPUTED_VALUE"""),"05.004.0012.0361.0074.6017.31.90.13")</f>
        <v>05.004.0012.0361.0074.6017.31.90.13</v>
      </c>
      <c r="S34" s="2" t="str">
        <f ca="1">IFERROR(__xludf.DUMMYFUNCTION("""COMPUTED_VALUE"""),"00101")</f>
        <v>00101</v>
      </c>
      <c r="T34" s="2">
        <f ca="1">IFERROR(__xludf.DUMMYFUNCTION("""COMPUTED_VALUE"""),2024)</f>
        <v>2024</v>
      </c>
      <c r="U34" s="2" t="str">
        <f ca="1">IFERROR(__xludf.DUMMYFUNCTION("""COMPUTED_VALUE"""),"0056")</f>
        <v>0056</v>
      </c>
      <c r="V34" s="2" t="str">
        <f ca="1">IFERROR(__xludf.DUMMYFUNCTION("""COMPUTED_VALUE"""),"04.002.0004.0122.0040.2005.31.90.07")</f>
        <v>04.002.0004.0122.0040.2005.31.90.07</v>
      </c>
      <c r="W34" s="2" t="str">
        <f ca="1">IFERROR(__xludf.DUMMYFUNCTION("""COMPUTED_VALUE"""),"0")</f>
        <v>0</v>
      </c>
      <c r="X34" s="2"/>
      <c r="Y34" s="2"/>
      <c r="Z34" s="2"/>
      <c r="AA34" s="2"/>
      <c r="AB34" s="2"/>
      <c r="AC34" s="2"/>
      <c r="AD34" s="2"/>
      <c r="AE34" s="2"/>
      <c r="AF34" s="2"/>
    </row>
    <row r="35" spans="1:32" ht="15.75" customHeight="1">
      <c r="A35" s="2"/>
      <c r="B35" s="6"/>
      <c r="C35" s="49" t="s">
        <v>24</v>
      </c>
      <c r="D35" s="50"/>
      <c r="E35" s="50"/>
      <c r="F35" s="50"/>
      <c r="G35" s="50"/>
      <c r="H35" s="50"/>
      <c r="I35" s="51"/>
      <c r="J35" s="27">
        <f ca="1">SUMIF(C16:J33,"2024",J16:J33)</f>
        <v>0</v>
      </c>
      <c r="K35" s="25"/>
      <c r="L35" s="26"/>
      <c r="M35" s="8"/>
      <c r="N35" s="2"/>
      <c r="O35" s="2"/>
      <c r="P35" s="2">
        <f ca="1">IFERROR(__xludf.DUMMYFUNCTION("""COMPUTED_VALUE"""),2023)</f>
        <v>2023</v>
      </c>
      <c r="Q35" s="2" t="str">
        <f ca="1">IFERROR(__xludf.DUMMYFUNCTION("""COMPUTED_VALUE"""),"0049")</f>
        <v>0049</v>
      </c>
      <c r="R35" s="2" t="str">
        <f ca="1">IFERROR(__xludf.DUMMYFUNCTION("""COMPUTED_VALUE"""),"05.004.0012.0361.0074.6017.31.90.13")</f>
        <v>05.004.0012.0361.0074.6017.31.90.13</v>
      </c>
      <c r="S35" s="2" t="str">
        <f ca="1">IFERROR(__xludf.DUMMYFUNCTION("""COMPUTED_VALUE"""),"00104")</f>
        <v>00104</v>
      </c>
      <c r="T35" s="2">
        <f ca="1">IFERROR(__xludf.DUMMYFUNCTION("""COMPUTED_VALUE"""),2024)</f>
        <v>2024</v>
      </c>
      <c r="U35" s="2" t="str">
        <f ca="1">IFERROR(__xludf.DUMMYFUNCTION("""COMPUTED_VALUE"""),"0057")</f>
        <v>0057</v>
      </c>
      <c r="V35" s="2" t="str">
        <f ca="1">IFERROR(__xludf.DUMMYFUNCTION("""COMPUTED_VALUE"""),"04.002.0004.0122.0040.2005.31.90.11")</f>
        <v>04.002.0004.0122.0040.2005.31.90.11</v>
      </c>
      <c r="W35" s="2" t="str">
        <f ca="1">IFERROR(__xludf.DUMMYFUNCTION("""COMPUTED_VALUE"""),"0")</f>
        <v>0</v>
      </c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customHeight="1">
      <c r="A36" s="2"/>
      <c r="B36" s="6"/>
      <c r="C36" s="49" t="s">
        <v>25</v>
      </c>
      <c r="D36" s="50"/>
      <c r="E36" s="50"/>
      <c r="F36" s="50"/>
      <c r="G36" s="50"/>
      <c r="H36" s="50"/>
      <c r="I36" s="51"/>
      <c r="J36" s="27">
        <f ca="1">SUMIF(C16:J33,"2025",J16:J33)</f>
        <v>168645</v>
      </c>
      <c r="K36" s="25"/>
      <c r="L36" s="26"/>
      <c r="M36" s="8"/>
      <c r="N36" s="2"/>
      <c r="O36" s="2"/>
      <c r="P36" s="2">
        <f ca="1">IFERROR(__xludf.DUMMYFUNCTION("""COMPUTED_VALUE"""),2023)</f>
        <v>2023</v>
      </c>
      <c r="Q36" s="2" t="str">
        <f ca="1">IFERROR(__xludf.DUMMYFUNCTION("""COMPUTED_VALUE"""),"0050")</f>
        <v>0050</v>
      </c>
      <c r="R36" s="2" t="str">
        <f ca="1">IFERROR(__xludf.DUMMYFUNCTION("""COMPUTED_VALUE"""),"11.002.0013.0392.0082.2009.31.90.13")</f>
        <v>11.002.0013.0392.0082.2009.31.90.13</v>
      </c>
      <c r="S36" s="2" t="str">
        <f ca="1">IFERROR(__xludf.DUMMYFUNCTION("""COMPUTED_VALUE"""),"0000")</f>
        <v>0000</v>
      </c>
      <c r="T36" s="2">
        <f ca="1">IFERROR(__xludf.DUMMYFUNCTION("""COMPUTED_VALUE"""),2024)</f>
        <v>2024</v>
      </c>
      <c r="U36" s="2" t="str">
        <f ca="1">IFERROR(__xludf.DUMMYFUNCTION("""COMPUTED_VALUE"""),"0058")</f>
        <v>0058</v>
      </c>
      <c r="V36" s="2" t="str">
        <f ca="1">IFERROR(__xludf.DUMMYFUNCTION("""COMPUTED_VALUE"""),"04.002.0004.0122.0040.2005.31.90.13")</f>
        <v>04.002.0004.0122.0040.2005.31.90.13</v>
      </c>
      <c r="W36" s="2" t="str">
        <f ca="1">IFERROR(__xludf.DUMMYFUNCTION("""COMPUTED_VALUE"""),"0")</f>
        <v>0</v>
      </c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customHeight="1">
      <c r="A37" s="2"/>
      <c r="B37" s="6"/>
      <c r="C37" s="52" t="s">
        <v>26</v>
      </c>
      <c r="D37" s="53"/>
      <c r="E37" s="53"/>
      <c r="F37" s="53"/>
      <c r="G37" s="53"/>
      <c r="H37" s="53"/>
      <c r="I37" s="54"/>
      <c r="J37" s="28">
        <f ca="1">SUM(J34:J36)</f>
        <v>168645</v>
      </c>
      <c r="K37" s="29"/>
      <c r="L37" s="26"/>
      <c r="M37" s="8"/>
      <c r="N37" s="2"/>
      <c r="O37" s="2"/>
      <c r="P37" s="2">
        <f ca="1">IFERROR(__xludf.DUMMYFUNCTION("""COMPUTED_VALUE"""),2023)</f>
        <v>2023</v>
      </c>
      <c r="Q37" s="2" t="str">
        <f ca="1">IFERROR(__xludf.DUMMYFUNCTION("""COMPUTED_VALUE"""),"0051")</f>
        <v>0051</v>
      </c>
      <c r="R37" s="2" t="str">
        <f ca="1">IFERROR(__xludf.DUMMYFUNCTION("""COMPUTED_VALUE"""),"06.001.0010.0301.0094.2037.31.90.13")</f>
        <v>06.001.0010.0301.0094.2037.31.90.13</v>
      </c>
      <c r="S37" s="2" t="str">
        <f ca="1">IFERROR(__xludf.DUMMYFUNCTION("""COMPUTED_VALUE"""),"00303")</f>
        <v>00303</v>
      </c>
      <c r="T37" s="2">
        <f ca="1">IFERROR(__xludf.DUMMYFUNCTION("""COMPUTED_VALUE"""),2024)</f>
        <v>2024</v>
      </c>
      <c r="U37" s="2" t="str">
        <f ca="1">IFERROR(__xludf.DUMMYFUNCTION("""COMPUTED_VALUE"""),"0059")</f>
        <v>0059</v>
      </c>
      <c r="V37" s="2" t="str">
        <f ca="1">IFERROR(__xludf.DUMMYFUNCTION("""COMPUTED_VALUE"""),"04.002.0004.0122.0040.2005.31.90.94")</f>
        <v>04.002.0004.0122.0040.2005.31.90.94</v>
      </c>
      <c r="W37" s="2" t="str">
        <f ca="1">IFERROR(__xludf.DUMMYFUNCTION("""COMPUTED_VALUE"""),"0")</f>
        <v>0</v>
      </c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customHeight="1">
      <c r="A38" s="2"/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7"/>
      <c r="M38" s="32"/>
      <c r="N38" s="2"/>
      <c r="O38" s="2"/>
      <c r="P38" s="2">
        <f ca="1">IFERROR(__xludf.DUMMYFUNCTION("""COMPUTED_VALUE"""),2023)</f>
        <v>2023</v>
      </c>
      <c r="Q38" s="2" t="str">
        <f ca="1">IFERROR(__xludf.DUMMYFUNCTION("""COMPUTED_VALUE"""),"0052")</f>
        <v>0052</v>
      </c>
      <c r="R38" s="2" t="str">
        <f ca="1">IFERROR(__xludf.DUMMYFUNCTION("""COMPUTED_VALUE"""),"06.001.0010.0301.0094.2039.31.90.13")</f>
        <v>06.001.0010.0301.0094.2039.31.90.13</v>
      </c>
      <c r="S38" s="2" t="str">
        <f ca="1">IFERROR(__xludf.DUMMYFUNCTION("""COMPUTED_VALUE"""),"00303")</f>
        <v>00303</v>
      </c>
      <c r="T38" s="2">
        <f ca="1">IFERROR(__xludf.DUMMYFUNCTION("""COMPUTED_VALUE"""),2024)</f>
        <v>2024</v>
      </c>
      <c r="U38" s="2" t="str">
        <f ca="1">IFERROR(__xludf.DUMMYFUNCTION("""COMPUTED_VALUE"""),"0060")</f>
        <v>0060</v>
      </c>
      <c r="V38" s="2" t="str">
        <f ca="1">IFERROR(__xludf.DUMMYFUNCTION("""COMPUTED_VALUE"""),"04.002.0004.0122.0040.2005.31.90.96")</f>
        <v>04.002.0004.0122.0040.2005.31.90.96</v>
      </c>
      <c r="W38" s="2" t="str">
        <f ca="1">IFERROR(__xludf.DUMMYFUNCTION("""COMPUTED_VALUE"""),"0")</f>
        <v>0</v>
      </c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>
        <f ca="1">IFERROR(__xludf.DUMMYFUNCTION("""COMPUTED_VALUE"""),2023)</f>
        <v>2023</v>
      </c>
      <c r="Q39" s="2" t="str">
        <f ca="1">IFERROR(__xludf.DUMMYFUNCTION("""COMPUTED_VALUE"""),"0053")</f>
        <v>0053</v>
      </c>
      <c r="R39" s="2" t="str">
        <f ca="1">IFERROR(__xludf.DUMMYFUNCTION("""COMPUTED_VALUE"""),"06.001.0010.0301.0094.2039.31.90.13")</f>
        <v>06.001.0010.0301.0094.2039.31.90.13</v>
      </c>
      <c r="S39" s="2" t="str">
        <f ca="1">IFERROR(__xludf.DUMMYFUNCTION("""COMPUTED_VALUE"""),"04942")</f>
        <v>04942</v>
      </c>
      <c r="T39" s="2">
        <f ca="1">IFERROR(__xludf.DUMMYFUNCTION("""COMPUTED_VALUE"""),2024)</f>
        <v>2024</v>
      </c>
      <c r="U39" s="2" t="str">
        <f ca="1">IFERROR(__xludf.DUMMYFUNCTION("""COMPUTED_VALUE"""),"0061")</f>
        <v>0061</v>
      </c>
      <c r="V39" s="2" t="str">
        <f ca="1">IFERROR(__xludf.DUMMYFUNCTION("""COMPUTED_VALUE"""),"04.002.0004.0122.0040.2005.31.91.13")</f>
        <v>04.002.0004.0122.0040.2005.31.91.13</v>
      </c>
      <c r="W39" s="2" t="str">
        <f ca="1">IFERROR(__xludf.DUMMYFUNCTION("""COMPUTED_VALUE"""),"0")</f>
        <v>0</v>
      </c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>
        <f ca="1">IFERROR(__xludf.DUMMYFUNCTION("""COMPUTED_VALUE"""),2023)</f>
        <v>2023</v>
      </c>
      <c r="Q40" s="2" t="str">
        <f ca="1">IFERROR(__xludf.DUMMYFUNCTION("""COMPUTED_VALUE"""),"0054")</f>
        <v>0054</v>
      </c>
      <c r="R40" s="2" t="str">
        <f ca="1">IFERROR(__xludf.DUMMYFUNCTION("""COMPUTED_VALUE"""),"06.001.0010.0305.0094.2040.31.90.13")</f>
        <v>06.001.0010.0305.0094.2040.31.90.13</v>
      </c>
      <c r="S40" s="2" t="str">
        <f ca="1">IFERROR(__xludf.DUMMYFUNCTION("""COMPUTED_VALUE"""),"00303")</f>
        <v>00303</v>
      </c>
      <c r="T40" s="2">
        <f ca="1">IFERROR(__xludf.DUMMYFUNCTION("""COMPUTED_VALUE"""),2024)</f>
        <v>2024</v>
      </c>
      <c r="U40" s="2" t="str">
        <f ca="1">IFERROR(__xludf.DUMMYFUNCTION("""COMPUTED_VALUE"""),"0062")</f>
        <v>0062</v>
      </c>
      <c r="V40" s="2" t="str">
        <f ca="1">IFERROR(__xludf.DUMMYFUNCTION("""COMPUTED_VALUE"""),"04.002.0004.0122.0040.2005.33.90.08")</f>
        <v>04.002.0004.0122.0040.2005.33.90.08</v>
      </c>
      <c r="W40" s="2" t="str">
        <f ca="1">IFERROR(__xludf.DUMMYFUNCTION("""COMPUTED_VALUE"""),"0")</f>
        <v>0</v>
      </c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>
        <f ca="1">IFERROR(__xludf.DUMMYFUNCTION("""COMPUTED_VALUE"""),2023)</f>
        <v>2023</v>
      </c>
      <c r="Q41" s="2" t="str">
        <f ca="1">IFERROR(__xludf.DUMMYFUNCTION("""COMPUTED_VALUE"""),"0055")</f>
        <v>0055</v>
      </c>
      <c r="R41" s="2" t="str">
        <f ca="1">IFERROR(__xludf.DUMMYFUNCTION("""COMPUTED_VALUE"""),"06.001.0010.0302.0094.2041.31.90.13")</f>
        <v>06.001.0010.0302.0094.2041.31.90.13</v>
      </c>
      <c r="S41" s="2" t="str">
        <f ca="1">IFERROR(__xludf.DUMMYFUNCTION("""COMPUTED_VALUE"""),"00303")</f>
        <v>00303</v>
      </c>
      <c r="T41" s="2">
        <f ca="1">IFERROR(__xludf.DUMMYFUNCTION("""COMPUTED_VALUE"""),2024)</f>
        <v>2024</v>
      </c>
      <c r="U41" s="2" t="str">
        <f ca="1">IFERROR(__xludf.DUMMYFUNCTION("""COMPUTED_VALUE"""),"0063")</f>
        <v>0063</v>
      </c>
      <c r="V41" s="2" t="str">
        <f ca="1">IFERROR(__xludf.DUMMYFUNCTION("""COMPUTED_VALUE"""),"04.002.0004.0122.0040.2005.33.90.36")</f>
        <v>04.002.0004.0122.0040.2005.33.90.36</v>
      </c>
      <c r="W41" s="2" t="str">
        <f ca="1">IFERROR(__xludf.DUMMYFUNCTION("""COMPUTED_VALUE"""),"0")</f>
        <v>0</v>
      </c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>
        <f ca="1">IFERROR(__xludf.DUMMYFUNCTION("""COMPUTED_VALUE"""),2023)</f>
        <v>2023</v>
      </c>
      <c r="Q42" s="2" t="str">
        <f ca="1">IFERROR(__xludf.DUMMYFUNCTION("""COMPUTED_VALUE"""),"0056")</f>
        <v>0056</v>
      </c>
      <c r="R42" s="2" t="str">
        <f ca="1">IFERROR(__xludf.DUMMYFUNCTION("""COMPUTED_VALUE"""),"06.001.0010.0302.0094.2043.31.90.13")</f>
        <v>06.001.0010.0302.0094.2043.31.90.13</v>
      </c>
      <c r="S42" s="2" t="str">
        <f ca="1">IFERROR(__xludf.DUMMYFUNCTION("""COMPUTED_VALUE"""),"00303")</f>
        <v>00303</v>
      </c>
      <c r="T42" s="2">
        <f ca="1">IFERROR(__xludf.DUMMYFUNCTION("""COMPUTED_VALUE"""),2024)</f>
        <v>2024</v>
      </c>
      <c r="U42" s="2" t="str">
        <f ca="1">IFERROR(__xludf.DUMMYFUNCTION("""COMPUTED_VALUE"""),"0064")</f>
        <v>0064</v>
      </c>
      <c r="V42" s="2" t="str">
        <f ca="1">IFERROR(__xludf.DUMMYFUNCTION("""COMPUTED_VALUE"""),"04.002.0004.0122.0040.2005.33.90.39")</f>
        <v>04.002.0004.0122.0040.2005.33.90.39</v>
      </c>
      <c r="W42" s="2" t="str">
        <f ca="1">IFERROR(__xludf.DUMMYFUNCTION("""COMPUTED_VALUE"""),"0")</f>
        <v>0</v>
      </c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>
        <f ca="1">IFERROR(__xludf.DUMMYFUNCTION("""COMPUTED_VALUE"""),2023)</f>
        <v>2023</v>
      </c>
      <c r="Q43" s="2" t="str">
        <f ca="1">IFERROR(__xludf.DUMMYFUNCTION("""COMPUTED_VALUE"""),"0057")</f>
        <v>0057</v>
      </c>
      <c r="R43" s="2" t="str">
        <f ca="1">IFERROR(__xludf.DUMMYFUNCTION("""COMPUTED_VALUE"""),"06.001.0010.0304.0094.2046.31.90.13")</f>
        <v>06.001.0010.0304.0094.2046.31.90.13</v>
      </c>
      <c r="S43" s="2" t="str">
        <f ca="1">IFERROR(__xludf.DUMMYFUNCTION("""COMPUTED_VALUE"""),"00303")</f>
        <v>00303</v>
      </c>
      <c r="T43" s="2">
        <f ca="1">IFERROR(__xludf.DUMMYFUNCTION("""COMPUTED_VALUE"""),2024)</f>
        <v>2024</v>
      </c>
      <c r="U43" s="2" t="str">
        <f ca="1">IFERROR(__xludf.DUMMYFUNCTION("""COMPUTED_VALUE"""),"0065")</f>
        <v>0065</v>
      </c>
      <c r="V43" s="2" t="str">
        <f ca="1">IFERROR(__xludf.DUMMYFUNCTION("""COMPUTED_VALUE"""),"04.002.0004.0122.0040.2005.33.90.46")</f>
        <v>04.002.0004.0122.0040.2005.33.90.46</v>
      </c>
      <c r="W43" s="2" t="str">
        <f ca="1">IFERROR(__xludf.DUMMYFUNCTION("""COMPUTED_VALUE"""),"0")</f>
        <v>0</v>
      </c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>
        <f ca="1">IFERROR(__xludf.DUMMYFUNCTION("""COMPUTED_VALUE"""),2023)</f>
        <v>2023</v>
      </c>
      <c r="Q44" s="2" t="str">
        <f ca="1">IFERROR(__xludf.DUMMYFUNCTION("""COMPUTED_VALUE"""),"0058")</f>
        <v>0058</v>
      </c>
      <c r="R44" s="2" t="str">
        <f ca="1">IFERROR(__xludf.DUMMYFUNCTION("""COMPUTED_VALUE"""),"06.001.0010.0122.0094.2047.31.90.13")</f>
        <v>06.001.0010.0122.0094.2047.31.90.13</v>
      </c>
      <c r="S44" s="2" t="str">
        <f ca="1">IFERROR(__xludf.DUMMYFUNCTION("""COMPUTED_VALUE"""),"00303")</f>
        <v>00303</v>
      </c>
      <c r="T44" s="2">
        <f ca="1">IFERROR(__xludf.DUMMYFUNCTION("""COMPUTED_VALUE"""),2024)</f>
        <v>2024</v>
      </c>
      <c r="U44" s="2" t="str">
        <f ca="1">IFERROR(__xludf.DUMMYFUNCTION("""COMPUTED_VALUE"""),"0066")</f>
        <v>0066</v>
      </c>
      <c r="V44" s="2" t="str">
        <f ca="1">IFERROR(__xludf.DUMMYFUNCTION("""COMPUTED_VALUE"""),"04.002.0004.0122.0040.2005.33.90.91")</f>
        <v>04.002.0004.0122.0040.2005.33.90.91</v>
      </c>
      <c r="W44" s="2" t="str">
        <f ca="1">IFERROR(__xludf.DUMMYFUNCTION("""COMPUTED_VALUE"""),"0")</f>
        <v>0</v>
      </c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>
        <f ca="1">IFERROR(__xludf.DUMMYFUNCTION("""COMPUTED_VALUE"""),2023)</f>
        <v>2023</v>
      </c>
      <c r="Q45" s="2" t="str">
        <f ca="1">IFERROR(__xludf.DUMMYFUNCTION("""COMPUTED_VALUE"""),"0060")</f>
        <v>0060</v>
      </c>
      <c r="R45" s="2" t="str">
        <f ca="1">IFERROR(__xludf.DUMMYFUNCTION("""COMPUTED_VALUE"""),"09.001.0004.0122.0131.2020.31.90.13")</f>
        <v>09.001.0004.0122.0131.2020.31.90.13</v>
      </c>
      <c r="S45" s="2" t="str">
        <f ca="1">IFERROR(__xludf.DUMMYFUNCTION("""COMPUTED_VALUE"""),"0000")</f>
        <v>0000</v>
      </c>
      <c r="T45" s="2">
        <f ca="1">IFERROR(__xludf.DUMMYFUNCTION("""COMPUTED_VALUE"""),2024)</f>
        <v>2024</v>
      </c>
      <c r="U45" s="2" t="str">
        <f ca="1">IFERROR(__xludf.DUMMYFUNCTION("""COMPUTED_VALUE"""),"0067")</f>
        <v>0067</v>
      </c>
      <c r="V45" s="2" t="str">
        <f ca="1">IFERROR(__xludf.DUMMYFUNCTION("""COMPUTED_VALUE"""),"04.004.0004.0122.0040.1001.33.90.30")</f>
        <v>04.004.0004.0122.0040.1001.33.90.30</v>
      </c>
      <c r="W45" s="2" t="str">
        <f ca="1">IFERROR(__xludf.DUMMYFUNCTION("""COMPUTED_VALUE"""),"0")</f>
        <v>0</v>
      </c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f ca="1">IFERROR(__xludf.DUMMYFUNCTION("""COMPUTED_VALUE"""),2023)</f>
        <v>2023</v>
      </c>
      <c r="Q46" s="2" t="str">
        <f ca="1">IFERROR(__xludf.DUMMYFUNCTION("""COMPUTED_VALUE"""),"0061")</f>
        <v>0061</v>
      </c>
      <c r="R46" s="2" t="str">
        <f ca="1">IFERROR(__xludf.DUMMYFUNCTION("""COMPUTED_VALUE"""),"04.001.0004.0122.0040.2003.31.90.94")</f>
        <v>04.001.0004.0122.0040.2003.31.90.94</v>
      </c>
      <c r="S46" s="2" t="str">
        <f ca="1">IFERROR(__xludf.DUMMYFUNCTION("""COMPUTED_VALUE"""),"0000")</f>
        <v>0000</v>
      </c>
      <c r="T46" s="2">
        <f ca="1">IFERROR(__xludf.DUMMYFUNCTION("""COMPUTED_VALUE"""),2024)</f>
        <v>2024</v>
      </c>
      <c r="U46" s="2" t="str">
        <f ca="1">IFERROR(__xludf.DUMMYFUNCTION("""COMPUTED_VALUE"""),"0068")</f>
        <v>0068</v>
      </c>
      <c r="V46" s="2" t="str">
        <f ca="1">IFERROR(__xludf.DUMMYFUNCTION("""COMPUTED_VALUE"""),"04.004.0004.0122.0040.1001.33.90.39")</f>
        <v>04.004.0004.0122.0040.1001.33.90.39</v>
      </c>
      <c r="W46" s="2" t="str">
        <f ca="1">IFERROR(__xludf.DUMMYFUNCTION("""COMPUTED_VALUE"""),"0")</f>
        <v>0</v>
      </c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>
        <f ca="1">IFERROR(__xludf.DUMMYFUNCTION("""COMPUTED_VALUE"""),2023)</f>
        <v>2023</v>
      </c>
      <c r="Q47" s="2" t="str">
        <f ca="1">IFERROR(__xludf.DUMMYFUNCTION("""COMPUTED_VALUE"""),"0062")</f>
        <v>0062</v>
      </c>
      <c r="R47" s="2" t="str">
        <f ca="1">IFERROR(__xludf.DUMMYFUNCTION("""COMPUTED_VALUE"""),"04.002.0004.0122.0040.2005.31.90.94")</f>
        <v>04.002.0004.0122.0040.2005.31.90.94</v>
      </c>
      <c r="S47" s="2" t="str">
        <f ca="1">IFERROR(__xludf.DUMMYFUNCTION("""COMPUTED_VALUE"""),"0000")</f>
        <v>0000</v>
      </c>
      <c r="T47" s="2">
        <f ca="1">IFERROR(__xludf.DUMMYFUNCTION("""COMPUTED_VALUE"""),2024)</f>
        <v>2024</v>
      </c>
      <c r="U47" s="2" t="str">
        <f ca="1">IFERROR(__xludf.DUMMYFUNCTION("""COMPUTED_VALUE"""),"0069")</f>
        <v>0069</v>
      </c>
      <c r="V47" s="2" t="str">
        <f ca="1">IFERROR(__xludf.DUMMYFUNCTION("""COMPUTED_VALUE"""),"04.004.0004.0122.0040.1001.33.90.40")</f>
        <v>04.004.0004.0122.0040.1001.33.90.40</v>
      </c>
      <c r="W47" s="2" t="str">
        <f ca="1">IFERROR(__xludf.DUMMYFUNCTION("""COMPUTED_VALUE"""),"0")</f>
        <v>0</v>
      </c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f ca="1">IFERROR(__xludf.DUMMYFUNCTION("""COMPUTED_VALUE"""),2023)</f>
        <v>2023</v>
      </c>
      <c r="Q48" s="2" t="str">
        <f ca="1">IFERROR(__xludf.DUMMYFUNCTION("""COMPUTED_VALUE"""),"0063")</f>
        <v>0063</v>
      </c>
      <c r="R48" s="2" t="str">
        <f ca="1">IFERROR(__xludf.DUMMYFUNCTION("""COMPUTED_VALUE"""),"05.004.0012.0365.0074.6016.31.90.94")</f>
        <v>05.004.0012.0365.0074.6016.31.90.94</v>
      </c>
      <c r="S48" s="2" t="str">
        <f ca="1">IFERROR(__xludf.DUMMYFUNCTION("""COMPUTED_VALUE"""),"00103")</f>
        <v>00103</v>
      </c>
      <c r="T48" s="2">
        <f ca="1">IFERROR(__xludf.DUMMYFUNCTION("""COMPUTED_VALUE"""),2024)</f>
        <v>2024</v>
      </c>
      <c r="U48" s="2" t="str">
        <f ca="1">IFERROR(__xludf.DUMMYFUNCTION("""COMPUTED_VALUE"""),"0070")</f>
        <v>0070</v>
      </c>
      <c r="V48" s="2" t="str">
        <f ca="1">IFERROR(__xludf.DUMMYFUNCTION("""COMPUTED_VALUE"""),"04.004.0004.0122.0040.1001.44.90.52")</f>
        <v>04.004.0004.0122.0040.1001.44.90.52</v>
      </c>
      <c r="W48" s="2" t="str">
        <f ca="1">IFERROR(__xludf.DUMMYFUNCTION("""COMPUTED_VALUE"""),"0")</f>
        <v>0</v>
      </c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>
        <f ca="1">IFERROR(__xludf.DUMMYFUNCTION("""COMPUTED_VALUE"""),2023)</f>
        <v>2023</v>
      </c>
      <c r="Q49" s="2" t="str">
        <f ca="1">IFERROR(__xludf.DUMMYFUNCTION("""COMPUTED_VALUE"""),"0064")</f>
        <v>0064</v>
      </c>
      <c r="R49" s="2" t="str">
        <f ca="1">IFERROR(__xludf.DUMMYFUNCTION("""COMPUTED_VALUE"""),"05.004.0012.0361.0074.6017.31.90.94")</f>
        <v>05.004.0012.0361.0074.6017.31.90.94</v>
      </c>
      <c r="S49" s="2" t="str">
        <f ca="1">IFERROR(__xludf.DUMMYFUNCTION("""COMPUTED_VALUE"""),"00104")</f>
        <v>00104</v>
      </c>
      <c r="T49" s="2">
        <f ca="1">IFERROR(__xludf.DUMMYFUNCTION("""COMPUTED_VALUE"""),2024)</f>
        <v>2024</v>
      </c>
      <c r="U49" s="2" t="str">
        <f ca="1">IFERROR(__xludf.DUMMYFUNCTION("""COMPUTED_VALUE"""),"0072")</f>
        <v>0072</v>
      </c>
      <c r="V49" s="2" t="str">
        <f ca="1">IFERROR(__xludf.DUMMYFUNCTION("""COMPUTED_VALUE"""),"04.004.0004.0122.0040.2138.33.90.30")</f>
        <v>04.004.0004.0122.0040.2138.33.90.30</v>
      </c>
      <c r="W49" s="2" t="str">
        <f ca="1">IFERROR(__xludf.DUMMYFUNCTION("""COMPUTED_VALUE"""),"0")</f>
        <v>0</v>
      </c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>
        <f ca="1">IFERROR(__xludf.DUMMYFUNCTION("""COMPUTED_VALUE"""),2023)</f>
        <v>2023</v>
      </c>
      <c r="Q50" s="2" t="str">
        <f ca="1">IFERROR(__xludf.DUMMYFUNCTION("""COMPUTED_VALUE"""),"0065")</f>
        <v>0065</v>
      </c>
      <c r="R50" s="2" t="str">
        <f ca="1">IFERROR(__xludf.DUMMYFUNCTION("""COMPUTED_VALUE"""),"06.001.0010.0301.0094.2037.31.90.94")</f>
        <v>06.001.0010.0301.0094.2037.31.90.94</v>
      </c>
      <c r="S50" s="2" t="str">
        <f ca="1">IFERROR(__xludf.DUMMYFUNCTION("""COMPUTED_VALUE"""),"00303")</f>
        <v>00303</v>
      </c>
      <c r="T50" s="2">
        <f ca="1">IFERROR(__xludf.DUMMYFUNCTION("""COMPUTED_VALUE"""),2024)</f>
        <v>2024</v>
      </c>
      <c r="U50" s="2" t="str">
        <f ca="1">IFERROR(__xludf.DUMMYFUNCTION("""COMPUTED_VALUE"""),"0073")</f>
        <v>0073</v>
      </c>
      <c r="V50" s="2" t="str">
        <f ca="1">IFERROR(__xludf.DUMMYFUNCTION("""COMPUTED_VALUE"""),"04.004.0004.0122.0040.2138.33.90.39")</f>
        <v>04.004.0004.0122.0040.2138.33.90.39</v>
      </c>
      <c r="W50" s="2" t="str">
        <f ca="1">IFERROR(__xludf.DUMMYFUNCTION("""COMPUTED_VALUE"""),"0")</f>
        <v>0</v>
      </c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>
        <f ca="1">IFERROR(__xludf.DUMMYFUNCTION("""COMPUTED_VALUE"""),2023)</f>
        <v>2023</v>
      </c>
      <c r="Q51" s="2" t="str">
        <f ca="1">IFERROR(__xludf.DUMMYFUNCTION("""COMPUTED_VALUE"""),"0066")</f>
        <v>0066</v>
      </c>
      <c r="R51" s="2" t="str">
        <f ca="1">IFERROR(__xludf.DUMMYFUNCTION("""COMPUTED_VALUE"""),"06.001.0010.0301.0094.2039.31.90.94")</f>
        <v>06.001.0010.0301.0094.2039.31.90.94</v>
      </c>
      <c r="S51" s="2" t="str">
        <f ca="1">IFERROR(__xludf.DUMMYFUNCTION("""COMPUTED_VALUE"""),"00303")</f>
        <v>00303</v>
      </c>
      <c r="T51" s="2">
        <f ca="1">IFERROR(__xludf.DUMMYFUNCTION("""COMPUTED_VALUE"""),2024)</f>
        <v>2024</v>
      </c>
      <c r="U51" s="2" t="str">
        <f ca="1">IFERROR(__xludf.DUMMYFUNCTION("""COMPUTED_VALUE"""),"0074")</f>
        <v>0074</v>
      </c>
      <c r="V51" s="2" t="str">
        <f ca="1">IFERROR(__xludf.DUMMYFUNCTION("""COMPUTED_VALUE"""),"04.004.0004.0122.0040.2138.33.90.40")</f>
        <v>04.004.0004.0122.0040.2138.33.90.40</v>
      </c>
      <c r="W51" s="2" t="str">
        <f ca="1">IFERROR(__xludf.DUMMYFUNCTION("""COMPUTED_VALUE"""),"0")</f>
        <v>0</v>
      </c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>
        <f ca="1">IFERROR(__xludf.DUMMYFUNCTION("""COMPUTED_VALUE"""),2023)</f>
        <v>2023</v>
      </c>
      <c r="Q52" s="2" t="str">
        <f ca="1">IFERROR(__xludf.DUMMYFUNCTION("""COMPUTED_VALUE"""),"0067")</f>
        <v>0067</v>
      </c>
      <c r="R52" s="2" t="str">
        <f ca="1">IFERROR(__xludf.DUMMYFUNCTION("""COMPUTED_VALUE"""),"06.001.0010.0301.0094.2039.31.90.94")</f>
        <v>06.001.0010.0301.0094.2039.31.90.94</v>
      </c>
      <c r="S52" s="2" t="str">
        <f ca="1">IFERROR(__xludf.DUMMYFUNCTION("""COMPUTED_VALUE"""),"04942")</f>
        <v>04942</v>
      </c>
      <c r="T52" s="2">
        <f ca="1">IFERROR(__xludf.DUMMYFUNCTION("""COMPUTED_VALUE"""),2024)</f>
        <v>2024</v>
      </c>
      <c r="U52" s="2" t="str">
        <f ca="1">IFERROR(__xludf.DUMMYFUNCTION("""COMPUTED_VALUE"""),"0075")</f>
        <v>0075</v>
      </c>
      <c r="V52" s="2" t="str">
        <f ca="1">IFERROR(__xludf.DUMMYFUNCTION("""COMPUTED_VALUE"""),"04.004.0004.0122.0040.2138.44.90.52")</f>
        <v>04.004.0004.0122.0040.2138.44.90.52</v>
      </c>
      <c r="W52" s="2" t="str">
        <f ca="1">IFERROR(__xludf.DUMMYFUNCTION("""COMPUTED_VALUE"""),"0")</f>
        <v>0</v>
      </c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>
        <f ca="1">IFERROR(__xludf.DUMMYFUNCTION("""COMPUTED_VALUE"""),2023)</f>
        <v>2023</v>
      </c>
      <c r="Q53" s="2" t="str">
        <f ca="1">IFERROR(__xludf.DUMMYFUNCTION("""COMPUTED_VALUE"""),"0069")</f>
        <v>0069</v>
      </c>
      <c r="R53" s="2" t="str">
        <f ca="1">IFERROR(__xludf.DUMMYFUNCTION("""COMPUTED_VALUE"""),"04.002.0004.0122.0040.2005.31.90.96")</f>
        <v>04.002.0004.0122.0040.2005.31.90.96</v>
      </c>
      <c r="S53" s="2" t="str">
        <f ca="1">IFERROR(__xludf.DUMMYFUNCTION("""COMPUTED_VALUE"""),"0000")</f>
        <v>0000</v>
      </c>
      <c r="T53" s="2">
        <f ca="1">IFERROR(__xludf.DUMMYFUNCTION("""COMPUTED_VALUE"""),2024)</f>
        <v>2024</v>
      </c>
      <c r="U53" s="2" t="str">
        <f ca="1">IFERROR(__xludf.DUMMYFUNCTION("""COMPUTED_VALUE"""),"0076")</f>
        <v>0076</v>
      </c>
      <c r="V53" s="2" t="str">
        <f ca="1">IFERROR(__xludf.DUMMYFUNCTION("""COMPUTED_VALUE"""),"05.001.0004.0122.0074.6006.33.90.32")</f>
        <v>05.001.0004.0122.0074.6006.33.90.32</v>
      </c>
      <c r="W53" s="2" t="str">
        <f ca="1">IFERROR(__xludf.DUMMYFUNCTION("""COMPUTED_VALUE"""),"0")</f>
        <v>0</v>
      </c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>
        <f ca="1">IFERROR(__xludf.DUMMYFUNCTION("""COMPUTED_VALUE"""),2023)</f>
        <v>2023</v>
      </c>
      <c r="Q54" s="2" t="str">
        <f ca="1">IFERROR(__xludf.DUMMYFUNCTION("""COMPUTED_VALUE"""),"0070")</f>
        <v>0070</v>
      </c>
      <c r="R54" s="2" t="str">
        <f ca="1">IFERROR(__xludf.DUMMYFUNCTION("""COMPUTED_VALUE"""),"05.004.0012.0361.0074.6017.31.90.96")</f>
        <v>05.004.0012.0361.0074.6017.31.90.96</v>
      </c>
      <c r="S54" s="2" t="str">
        <f ca="1">IFERROR(__xludf.DUMMYFUNCTION("""COMPUTED_VALUE"""),"00104")</f>
        <v>00104</v>
      </c>
      <c r="T54" s="2">
        <f ca="1">IFERROR(__xludf.DUMMYFUNCTION("""COMPUTED_VALUE"""),2024)</f>
        <v>2024</v>
      </c>
      <c r="U54" s="2" t="str">
        <f ca="1">IFERROR(__xludf.DUMMYFUNCTION("""COMPUTED_VALUE"""),"0078")</f>
        <v>0078</v>
      </c>
      <c r="V54" s="2" t="str">
        <f ca="1">IFERROR(__xludf.DUMMYFUNCTION("""COMPUTED_VALUE"""),"05.001.0004.0122.0074.6009.31.50.43")</f>
        <v>05.001.0004.0122.0074.6009.31.50.43</v>
      </c>
      <c r="W54" s="2" t="str">
        <f ca="1">IFERROR(__xludf.DUMMYFUNCTION("""COMPUTED_VALUE"""),"107")</f>
        <v>107</v>
      </c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>
        <f ca="1">IFERROR(__xludf.DUMMYFUNCTION("""COMPUTED_VALUE"""),2023)</f>
        <v>2023</v>
      </c>
      <c r="Q55" s="2" t="str">
        <f ca="1">IFERROR(__xludf.DUMMYFUNCTION("""COMPUTED_VALUE"""),"0071")</f>
        <v>0071</v>
      </c>
      <c r="R55" s="2" t="str">
        <f ca="1">IFERROR(__xludf.DUMMYFUNCTION("""COMPUTED_VALUE"""),"04.001.0004.0122.0040.2003.31.91.13")</f>
        <v>04.001.0004.0122.0040.2003.31.91.13</v>
      </c>
      <c r="S55" s="2" t="str">
        <f ca="1">IFERROR(__xludf.DUMMYFUNCTION("""COMPUTED_VALUE"""),"0000")</f>
        <v>0000</v>
      </c>
      <c r="T55" s="2">
        <f ca="1">IFERROR(__xludf.DUMMYFUNCTION("""COMPUTED_VALUE"""),2024)</f>
        <v>2024</v>
      </c>
      <c r="U55" s="2" t="str">
        <f ca="1">IFERROR(__xludf.DUMMYFUNCTION("""COMPUTED_VALUE"""),"0079")</f>
        <v>0079</v>
      </c>
      <c r="V55" s="2" t="str">
        <f ca="1">IFERROR(__xludf.DUMMYFUNCTION("""COMPUTED_VALUE"""),"05.001.0004.0122.0074.6009.33.50.43")</f>
        <v>05.001.0004.0122.0074.6009.33.50.43</v>
      </c>
      <c r="W55" s="2" t="str">
        <f ca="1">IFERROR(__xludf.DUMMYFUNCTION("""COMPUTED_VALUE"""),"0")</f>
        <v>0</v>
      </c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f ca="1">IFERROR(__xludf.DUMMYFUNCTION("""COMPUTED_VALUE"""),2023)</f>
        <v>2023</v>
      </c>
      <c r="Q56" s="2" t="str">
        <f ca="1">IFERROR(__xludf.DUMMYFUNCTION("""COMPUTED_VALUE"""),"0072")</f>
        <v>0072</v>
      </c>
      <c r="R56" s="2" t="str">
        <f ca="1">IFERROR(__xludf.DUMMYFUNCTION("""COMPUTED_VALUE"""),"04.002.0004.0122.0040.2005.31.91.13")</f>
        <v>04.002.0004.0122.0040.2005.31.91.13</v>
      </c>
      <c r="S56" s="2" t="str">
        <f ca="1">IFERROR(__xludf.DUMMYFUNCTION("""COMPUTED_VALUE"""),"0000")</f>
        <v>0000</v>
      </c>
      <c r="T56" s="2">
        <f ca="1">IFERROR(__xludf.DUMMYFUNCTION("""COMPUTED_VALUE"""),2024)</f>
        <v>2024</v>
      </c>
      <c r="U56" s="2" t="str">
        <f ca="1">IFERROR(__xludf.DUMMYFUNCTION("""COMPUTED_VALUE"""),"0080")</f>
        <v>0080</v>
      </c>
      <c r="V56" s="2" t="str">
        <f ca="1">IFERROR(__xludf.DUMMYFUNCTION("""COMPUTED_VALUE"""),"05.001.0004.0122.0074.6011.33.90.30")</f>
        <v>05.001.0004.0122.0074.6011.33.90.30</v>
      </c>
      <c r="W56" s="2" t="str">
        <f ca="1">IFERROR(__xludf.DUMMYFUNCTION("""COMPUTED_VALUE"""),"0")</f>
        <v>0</v>
      </c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>
        <f ca="1">IFERROR(__xludf.DUMMYFUNCTION("""COMPUTED_VALUE"""),2023)</f>
        <v>2023</v>
      </c>
      <c r="Q57" s="2" t="str">
        <f ca="1">IFERROR(__xludf.DUMMYFUNCTION("""COMPUTED_VALUE"""),"0073")</f>
        <v>0073</v>
      </c>
      <c r="R57" s="2" t="str">
        <f ca="1">IFERROR(__xludf.DUMMYFUNCTION("""COMPUTED_VALUE"""),"05.004.0012.0366.0074.2058.31.91.13")</f>
        <v>05.004.0012.0366.0074.2058.31.91.13</v>
      </c>
      <c r="S57" s="2" t="str">
        <f ca="1">IFERROR(__xludf.DUMMYFUNCTION("""COMPUTED_VALUE"""),"00101")</f>
        <v>00101</v>
      </c>
      <c r="T57" s="2">
        <f ca="1">IFERROR(__xludf.DUMMYFUNCTION("""COMPUTED_VALUE"""),2024)</f>
        <v>2024</v>
      </c>
      <c r="U57" s="2" t="str">
        <f ca="1">IFERROR(__xludf.DUMMYFUNCTION("""COMPUTED_VALUE"""),"0081")</f>
        <v>0081</v>
      </c>
      <c r="V57" s="2" t="str">
        <f ca="1">IFERROR(__xludf.DUMMYFUNCTION("""COMPUTED_VALUE"""),"05.001.0004.0122.0074.6011.33.90.39")</f>
        <v>05.001.0004.0122.0074.6011.33.90.39</v>
      </c>
      <c r="W57" s="2" t="str">
        <f ca="1">IFERROR(__xludf.DUMMYFUNCTION("""COMPUTED_VALUE"""),"0")</f>
        <v>0</v>
      </c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>
        <f ca="1">IFERROR(__xludf.DUMMYFUNCTION("""COMPUTED_VALUE"""),2023)</f>
        <v>2023</v>
      </c>
      <c r="Q58" s="2" t="str">
        <f ca="1">IFERROR(__xludf.DUMMYFUNCTION("""COMPUTED_VALUE"""),"0074")</f>
        <v>0074</v>
      </c>
      <c r="R58" s="2" t="str">
        <f ca="1">IFERROR(__xludf.DUMMYFUNCTION("""COMPUTED_VALUE"""),"05.004.0012.0367.0074.6008.31.91.13")</f>
        <v>05.004.0012.0367.0074.6008.31.91.13</v>
      </c>
      <c r="S58" s="2" t="str">
        <f ca="1">IFERROR(__xludf.DUMMYFUNCTION("""COMPUTED_VALUE"""),"00101")</f>
        <v>00101</v>
      </c>
      <c r="T58" s="2">
        <f ca="1">IFERROR(__xludf.DUMMYFUNCTION("""COMPUTED_VALUE"""),2024)</f>
        <v>2024</v>
      </c>
      <c r="U58" s="2" t="str">
        <f ca="1">IFERROR(__xludf.DUMMYFUNCTION("""COMPUTED_VALUE"""),"0082")</f>
        <v>0082</v>
      </c>
      <c r="V58" s="2" t="str">
        <f ca="1">IFERROR(__xludf.DUMMYFUNCTION("""COMPUTED_VALUE"""),"05.001.0012.0361.0074.6005.33.90.32")</f>
        <v>05.001.0012.0361.0074.6005.33.90.32</v>
      </c>
      <c r="W58" s="2" t="str">
        <f ca="1">IFERROR(__xludf.DUMMYFUNCTION("""COMPUTED_VALUE"""),"0")</f>
        <v>0</v>
      </c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>
        <f ca="1">IFERROR(__xludf.DUMMYFUNCTION("""COMPUTED_VALUE"""),2023)</f>
        <v>2023</v>
      </c>
      <c r="Q59" s="2" t="str">
        <f ca="1">IFERROR(__xludf.DUMMYFUNCTION("""COMPUTED_VALUE"""),"0075")</f>
        <v>0075</v>
      </c>
      <c r="R59" s="2" t="str">
        <f ca="1">IFERROR(__xludf.DUMMYFUNCTION("""COMPUTED_VALUE"""),"05.004.0012.0367.0074.6008.31.91.13")</f>
        <v>05.004.0012.0367.0074.6008.31.91.13</v>
      </c>
      <c r="S59" s="2" t="str">
        <f ca="1">IFERROR(__xludf.DUMMYFUNCTION("""COMPUTED_VALUE"""),"00104")</f>
        <v>00104</v>
      </c>
      <c r="T59" s="2">
        <f ca="1">IFERROR(__xludf.DUMMYFUNCTION("""COMPUTED_VALUE"""),2024)</f>
        <v>2024</v>
      </c>
      <c r="U59" s="2" t="str">
        <f ca="1">IFERROR(__xludf.DUMMYFUNCTION("""COMPUTED_VALUE"""),"0084")</f>
        <v>0084</v>
      </c>
      <c r="V59" s="2" t="str">
        <f ca="1">IFERROR(__xludf.DUMMYFUNCTION("""COMPUTED_VALUE"""),"05.001.0012.0361.0074.6012.33.90.30")</f>
        <v>05.001.0012.0361.0074.6012.33.90.30</v>
      </c>
      <c r="W59" s="2" t="str">
        <f ca="1">IFERROR(__xludf.DUMMYFUNCTION("""COMPUTED_VALUE"""),"1042")</f>
        <v>1042</v>
      </c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>
        <f ca="1">IFERROR(__xludf.DUMMYFUNCTION("""COMPUTED_VALUE"""),2023)</f>
        <v>2023</v>
      </c>
      <c r="Q60" s="2" t="str">
        <f ca="1">IFERROR(__xludf.DUMMYFUNCTION("""COMPUTED_VALUE"""),"0076")</f>
        <v>0076</v>
      </c>
      <c r="R60" s="2" t="str">
        <f ca="1">IFERROR(__xludf.DUMMYFUNCTION("""COMPUTED_VALUE"""),"05.004.0012.0365.0074.6016.31.91.13")</f>
        <v>05.004.0012.0365.0074.6016.31.91.13</v>
      </c>
      <c r="S60" s="2" t="str">
        <f ca="1">IFERROR(__xludf.DUMMYFUNCTION("""COMPUTED_VALUE"""),"00101")</f>
        <v>00101</v>
      </c>
      <c r="T60" s="2">
        <f ca="1">IFERROR(__xludf.DUMMYFUNCTION("""COMPUTED_VALUE"""),2024)</f>
        <v>2024</v>
      </c>
      <c r="U60" s="2" t="str">
        <f ca="1">IFERROR(__xludf.DUMMYFUNCTION("""COMPUTED_VALUE"""),"0085")</f>
        <v>0085</v>
      </c>
      <c r="V60" s="2" t="str">
        <f ca="1">IFERROR(__xludf.DUMMYFUNCTION("""COMPUTED_VALUE"""),"05.001.0012.0361.0074.6012.33.90.31")</f>
        <v>05.001.0012.0361.0074.6012.33.90.31</v>
      </c>
      <c r="W60" s="2" t="str">
        <f ca="1">IFERROR(__xludf.DUMMYFUNCTION("""COMPUTED_VALUE"""),"107")</f>
        <v>107</v>
      </c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>
        <f ca="1">IFERROR(__xludf.DUMMYFUNCTION("""COMPUTED_VALUE"""),2023)</f>
        <v>2023</v>
      </c>
      <c r="Q61" s="2" t="str">
        <f ca="1">IFERROR(__xludf.DUMMYFUNCTION("""COMPUTED_VALUE"""),"0077")</f>
        <v>0077</v>
      </c>
      <c r="R61" s="2" t="str">
        <f ca="1">IFERROR(__xludf.DUMMYFUNCTION("""COMPUTED_VALUE"""),"05.004.0012.0365.0074.6016.31.91.13")</f>
        <v>05.004.0012.0365.0074.6016.31.91.13</v>
      </c>
      <c r="S61" s="2" t="str">
        <f ca="1">IFERROR(__xludf.DUMMYFUNCTION("""COMPUTED_VALUE"""),"00103")</f>
        <v>00103</v>
      </c>
      <c r="T61" s="2">
        <f ca="1">IFERROR(__xludf.DUMMYFUNCTION("""COMPUTED_VALUE"""),2024)</f>
        <v>2024</v>
      </c>
      <c r="U61" s="2" t="str">
        <f ca="1">IFERROR(__xludf.DUMMYFUNCTION("""COMPUTED_VALUE"""),"0086")</f>
        <v>0086</v>
      </c>
      <c r="V61" s="2" t="str">
        <f ca="1">IFERROR(__xludf.DUMMYFUNCTION("""COMPUTED_VALUE"""),"05.001.0012.0361.0074.6012.33.90.32")</f>
        <v>05.001.0012.0361.0074.6012.33.90.32</v>
      </c>
      <c r="W61" s="2" t="str">
        <f ca="1">IFERROR(__xludf.DUMMYFUNCTION("""COMPUTED_VALUE"""),"107")</f>
        <v>107</v>
      </c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>
        <f ca="1">IFERROR(__xludf.DUMMYFUNCTION("""COMPUTED_VALUE"""),2023)</f>
        <v>2023</v>
      </c>
      <c r="Q62" s="2" t="str">
        <f ca="1">IFERROR(__xludf.DUMMYFUNCTION("""COMPUTED_VALUE"""),"0078")</f>
        <v>0078</v>
      </c>
      <c r="R62" s="2" t="str">
        <f ca="1">IFERROR(__xludf.DUMMYFUNCTION("""COMPUTED_VALUE"""),"05.004.0012.0361.0074.6017.31.91.13")</f>
        <v>05.004.0012.0361.0074.6017.31.91.13</v>
      </c>
      <c r="S62" s="2" t="str">
        <f ca="1">IFERROR(__xludf.DUMMYFUNCTION("""COMPUTED_VALUE"""),"00101")</f>
        <v>00101</v>
      </c>
      <c r="T62" s="2">
        <f ca="1">IFERROR(__xludf.DUMMYFUNCTION("""COMPUTED_VALUE"""),2024)</f>
        <v>2024</v>
      </c>
      <c r="U62" s="2" t="str">
        <f ca="1">IFERROR(__xludf.DUMMYFUNCTION("""COMPUTED_VALUE"""),"0087")</f>
        <v>0087</v>
      </c>
      <c r="V62" s="2" t="str">
        <f ca="1">IFERROR(__xludf.DUMMYFUNCTION("""COMPUTED_VALUE"""),"05.001.0012.0361.0074.6012.33.90.33")</f>
        <v>05.001.0012.0361.0074.6012.33.90.33</v>
      </c>
      <c r="W62" s="2" t="str">
        <f ca="1">IFERROR(__xludf.DUMMYFUNCTION("""COMPUTED_VALUE"""),"107")</f>
        <v>107</v>
      </c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>
        <f ca="1">IFERROR(__xludf.DUMMYFUNCTION("""COMPUTED_VALUE"""),2023)</f>
        <v>2023</v>
      </c>
      <c r="Q63" s="2" t="str">
        <f ca="1">IFERROR(__xludf.DUMMYFUNCTION("""COMPUTED_VALUE"""),"0079")</f>
        <v>0079</v>
      </c>
      <c r="R63" s="2" t="str">
        <f ca="1">IFERROR(__xludf.DUMMYFUNCTION("""COMPUTED_VALUE"""),"05.004.0012.0361.0074.6017.31.91.13")</f>
        <v>05.004.0012.0361.0074.6017.31.91.13</v>
      </c>
      <c r="S63" s="2" t="str">
        <f ca="1">IFERROR(__xludf.DUMMYFUNCTION("""COMPUTED_VALUE"""),"00104")</f>
        <v>00104</v>
      </c>
      <c r="T63" s="2">
        <f ca="1">IFERROR(__xludf.DUMMYFUNCTION("""COMPUTED_VALUE"""),2024)</f>
        <v>2024</v>
      </c>
      <c r="U63" s="2" t="str">
        <f ca="1">IFERROR(__xludf.DUMMYFUNCTION("""COMPUTED_VALUE"""),"0088")</f>
        <v>0088</v>
      </c>
      <c r="V63" s="2" t="str">
        <f ca="1">IFERROR(__xludf.DUMMYFUNCTION("""COMPUTED_VALUE"""),"05.001.0012.0361.0074.6012.33.90.36")</f>
        <v>05.001.0012.0361.0074.6012.33.90.36</v>
      </c>
      <c r="W63" s="2" t="str">
        <f ca="1">IFERROR(__xludf.DUMMYFUNCTION("""COMPUTED_VALUE"""),"107")</f>
        <v>107</v>
      </c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>
        <f ca="1">IFERROR(__xludf.DUMMYFUNCTION("""COMPUTED_VALUE"""),2023)</f>
        <v>2023</v>
      </c>
      <c r="Q64" s="2" t="str">
        <f ca="1">IFERROR(__xludf.DUMMYFUNCTION("""COMPUTED_VALUE"""),"0080")</f>
        <v>0080</v>
      </c>
      <c r="R64" s="2" t="str">
        <f ca="1">IFERROR(__xludf.DUMMYFUNCTION("""COMPUTED_VALUE"""),"06.001.0010.0301.0094.2037.31.91.13")</f>
        <v>06.001.0010.0301.0094.2037.31.91.13</v>
      </c>
      <c r="S64" s="2" t="str">
        <f ca="1">IFERROR(__xludf.DUMMYFUNCTION("""COMPUTED_VALUE"""),"00303")</f>
        <v>00303</v>
      </c>
      <c r="T64" s="2">
        <f ca="1">IFERROR(__xludf.DUMMYFUNCTION("""COMPUTED_VALUE"""),2024)</f>
        <v>2024</v>
      </c>
      <c r="U64" s="2" t="str">
        <f ca="1">IFERROR(__xludf.DUMMYFUNCTION("""COMPUTED_VALUE"""),"0089")</f>
        <v>0089</v>
      </c>
      <c r="V64" s="2" t="str">
        <f ca="1">IFERROR(__xludf.DUMMYFUNCTION("""COMPUTED_VALUE"""),"05.001.0012.0361.0074.6012.33.90.37")</f>
        <v>05.001.0012.0361.0074.6012.33.90.37</v>
      </c>
      <c r="W64" s="2" t="str">
        <f ca="1">IFERROR(__xludf.DUMMYFUNCTION("""COMPUTED_VALUE"""),"107")</f>
        <v>107</v>
      </c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>
        <f ca="1">IFERROR(__xludf.DUMMYFUNCTION("""COMPUTED_VALUE"""),2023)</f>
        <v>2023</v>
      </c>
      <c r="Q65" s="2" t="str">
        <f ca="1">IFERROR(__xludf.DUMMYFUNCTION("""COMPUTED_VALUE"""),"0081")</f>
        <v>0081</v>
      </c>
      <c r="R65" s="2" t="str">
        <f ca="1">IFERROR(__xludf.DUMMYFUNCTION("""COMPUTED_VALUE"""),"06.001.0010.0301.0094.2039.31.91.13")</f>
        <v>06.001.0010.0301.0094.2039.31.91.13</v>
      </c>
      <c r="S65" s="2" t="str">
        <f ca="1">IFERROR(__xludf.DUMMYFUNCTION("""COMPUTED_VALUE"""),"00303")</f>
        <v>00303</v>
      </c>
      <c r="T65" s="2">
        <f ca="1">IFERROR(__xludf.DUMMYFUNCTION("""COMPUTED_VALUE"""),2024)</f>
        <v>2024</v>
      </c>
      <c r="U65" s="2" t="str">
        <f ca="1">IFERROR(__xludf.DUMMYFUNCTION("""COMPUTED_VALUE"""),"0090")</f>
        <v>0090</v>
      </c>
      <c r="V65" s="2" t="str">
        <f ca="1">IFERROR(__xludf.DUMMYFUNCTION("""COMPUTED_VALUE"""),"05.001.0012.0361.0074.6012.33.90.39")</f>
        <v>05.001.0012.0361.0074.6012.33.90.39</v>
      </c>
      <c r="W65" s="2" t="str">
        <f ca="1">IFERROR(__xludf.DUMMYFUNCTION("""COMPUTED_VALUE"""),"107")</f>
        <v>107</v>
      </c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>
        <f ca="1">IFERROR(__xludf.DUMMYFUNCTION("""COMPUTED_VALUE"""),2023)</f>
        <v>2023</v>
      </c>
      <c r="Q66" s="2" t="str">
        <f ca="1">IFERROR(__xludf.DUMMYFUNCTION("""COMPUTED_VALUE"""),"0082")</f>
        <v>0082</v>
      </c>
      <c r="R66" s="2" t="str">
        <f ca="1">IFERROR(__xludf.DUMMYFUNCTION("""COMPUTED_VALUE"""),"06.001.0010.0301.0094.2039.31.91.13")</f>
        <v>06.001.0010.0301.0094.2039.31.91.13</v>
      </c>
      <c r="S66" s="2" t="str">
        <f ca="1">IFERROR(__xludf.DUMMYFUNCTION("""COMPUTED_VALUE"""),"04942")</f>
        <v>04942</v>
      </c>
      <c r="T66" s="2">
        <f ca="1">IFERROR(__xludf.DUMMYFUNCTION("""COMPUTED_VALUE"""),2024)</f>
        <v>2024</v>
      </c>
      <c r="U66" s="2" t="str">
        <f ca="1">IFERROR(__xludf.DUMMYFUNCTION("""COMPUTED_VALUE"""),"0091")</f>
        <v>0091</v>
      </c>
      <c r="V66" s="2" t="str">
        <f ca="1">IFERROR(__xludf.DUMMYFUNCTION("""COMPUTED_VALUE"""),"05.001.0012.0361.0074.6012.33.90.40")</f>
        <v>05.001.0012.0361.0074.6012.33.90.40</v>
      </c>
      <c r="W66" s="2" t="str">
        <f ca="1">IFERROR(__xludf.DUMMYFUNCTION("""COMPUTED_VALUE"""),"107")</f>
        <v>107</v>
      </c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>
        <f ca="1">IFERROR(__xludf.DUMMYFUNCTION("""COMPUTED_VALUE"""),2023)</f>
        <v>2023</v>
      </c>
      <c r="Q67" s="2" t="str">
        <f ca="1">IFERROR(__xludf.DUMMYFUNCTION("""COMPUTED_VALUE"""),"0083")</f>
        <v>0083</v>
      </c>
      <c r="R67" s="2" t="str">
        <f ca="1">IFERROR(__xludf.DUMMYFUNCTION("""COMPUTED_VALUE"""),"06.001.0010.0305.0094.2040.31.91.13")</f>
        <v>06.001.0010.0305.0094.2040.31.91.13</v>
      </c>
      <c r="S67" s="2" t="str">
        <f ca="1">IFERROR(__xludf.DUMMYFUNCTION("""COMPUTED_VALUE"""),"00303")</f>
        <v>00303</v>
      </c>
      <c r="T67" s="2">
        <f ca="1">IFERROR(__xludf.DUMMYFUNCTION("""COMPUTED_VALUE"""),2024)</f>
        <v>2024</v>
      </c>
      <c r="U67" s="2" t="str">
        <f ca="1">IFERROR(__xludf.DUMMYFUNCTION("""COMPUTED_VALUE"""),"0092")</f>
        <v>0092</v>
      </c>
      <c r="V67" s="2" t="str">
        <f ca="1">IFERROR(__xludf.DUMMYFUNCTION("""COMPUTED_VALUE"""),"05.001.0012.0361.0074.6012.44.90.30")</f>
        <v>05.001.0012.0361.0074.6012.44.90.30</v>
      </c>
      <c r="W67" s="2" t="str">
        <f ca="1">IFERROR(__xludf.DUMMYFUNCTION("""COMPUTED_VALUE"""),"107")</f>
        <v>107</v>
      </c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>
        <f ca="1">IFERROR(__xludf.DUMMYFUNCTION("""COMPUTED_VALUE"""),2023)</f>
        <v>2023</v>
      </c>
      <c r="Q68" s="2" t="str">
        <f ca="1">IFERROR(__xludf.DUMMYFUNCTION("""COMPUTED_VALUE"""),"0084")</f>
        <v>0084</v>
      </c>
      <c r="R68" s="2" t="str">
        <f ca="1">IFERROR(__xludf.DUMMYFUNCTION("""COMPUTED_VALUE"""),"06.001.0010.0305.0094.2040.31.91.13")</f>
        <v>06.001.0010.0305.0094.2040.31.91.13</v>
      </c>
      <c r="S68" s="2" t="str">
        <f ca="1">IFERROR(__xludf.DUMMYFUNCTION("""COMPUTED_VALUE"""),"04942")</f>
        <v>04942</v>
      </c>
      <c r="T68" s="2">
        <f ca="1">IFERROR(__xludf.DUMMYFUNCTION("""COMPUTED_VALUE"""),2024)</f>
        <v>2024</v>
      </c>
      <c r="U68" s="2" t="str">
        <f ca="1">IFERROR(__xludf.DUMMYFUNCTION("""COMPUTED_VALUE"""),"0093")</f>
        <v>0093</v>
      </c>
      <c r="V68" s="2" t="str">
        <f ca="1">IFERROR(__xludf.DUMMYFUNCTION("""COMPUTED_VALUE"""),"05.001.0012.0361.0074.6012.44.90.39")</f>
        <v>05.001.0012.0361.0074.6012.44.90.39</v>
      </c>
      <c r="W68" s="2" t="str">
        <f ca="1">IFERROR(__xludf.DUMMYFUNCTION("""COMPUTED_VALUE"""),"107")</f>
        <v>107</v>
      </c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>
        <f ca="1">IFERROR(__xludf.DUMMYFUNCTION("""COMPUTED_VALUE"""),2023)</f>
        <v>2023</v>
      </c>
      <c r="Q69" s="2" t="str">
        <f ca="1">IFERROR(__xludf.DUMMYFUNCTION("""COMPUTED_VALUE"""),"0085")</f>
        <v>0085</v>
      </c>
      <c r="R69" s="2" t="str">
        <f ca="1">IFERROR(__xludf.DUMMYFUNCTION("""COMPUTED_VALUE"""),"06.001.0010.0302.0094.2041.31.91.13")</f>
        <v>06.001.0010.0302.0094.2041.31.91.13</v>
      </c>
      <c r="S69" s="2" t="str">
        <f ca="1">IFERROR(__xludf.DUMMYFUNCTION("""COMPUTED_VALUE"""),"00303")</f>
        <v>00303</v>
      </c>
      <c r="T69" s="2">
        <f ca="1">IFERROR(__xludf.DUMMYFUNCTION("""COMPUTED_VALUE"""),2024)</f>
        <v>2024</v>
      </c>
      <c r="U69" s="2" t="str">
        <f ca="1">IFERROR(__xludf.DUMMYFUNCTION("""COMPUTED_VALUE"""),"0094")</f>
        <v>0094</v>
      </c>
      <c r="V69" s="2" t="str">
        <f ca="1">IFERROR(__xludf.DUMMYFUNCTION("""COMPUTED_VALUE"""),"05.001.0012.0361.0074.6018.33.90.14")</f>
        <v>05.001.0012.0361.0074.6018.33.90.14</v>
      </c>
      <c r="W69" s="2" t="str">
        <f ca="1">IFERROR(__xludf.DUMMYFUNCTION("""COMPUTED_VALUE"""),"107")</f>
        <v>107</v>
      </c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>
        <f ca="1">IFERROR(__xludf.DUMMYFUNCTION("""COMPUTED_VALUE"""),2023)</f>
        <v>2023</v>
      </c>
      <c r="Q70" s="2" t="str">
        <f ca="1">IFERROR(__xludf.DUMMYFUNCTION("""COMPUTED_VALUE"""),"0086")</f>
        <v>0086</v>
      </c>
      <c r="R70" s="2" t="str">
        <f ca="1">IFERROR(__xludf.DUMMYFUNCTION("""COMPUTED_VALUE"""),"06.001.0010.0302.0094.2042.31.91.13")</f>
        <v>06.001.0010.0302.0094.2042.31.91.13</v>
      </c>
      <c r="S70" s="2" t="str">
        <f ca="1">IFERROR(__xludf.DUMMYFUNCTION("""COMPUTED_VALUE"""),"00303")</f>
        <v>00303</v>
      </c>
      <c r="T70" s="2">
        <f ca="1">IFERROR(__xludf.DUMMYFUNCTION("""COMPUTED_VALUE"""),2024)</f>
        <v>2024</v>
      </c>
      <c r="U70" s="2" t="str">
        <f ca="1">IFERROR(__xludf.DUMMYFUNCTION("""COMPUTED_VALUE"""),"0095")</f>
        <v>0095</v>
      </c>
      <c r="V70" s="2" t="str">
        <f ca="1">IFERROR(__xludf.DUMMYFUNCTION("""COMPUTED_VALUE"""),"05.001.0012.0361.0074.6018.33.90.30")</f>
        <v>05.001.0012.0361.0074.6018.33.90.30</v>
      </c>
      <c r="W70" s="2" t="str">
        <f ca="1">IFERROR(__xludf.DUMMYFUNCTION("""COMPUTED_VALUE"""),"0")</f>
        <v>0</v>
      </c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>
        <f ca="1">IFERROR(__xludf.DUMMYFUNCTION("""COMPUTED_VALUE"""),2023)</f>
        <v>2023</v>
      </c>
      <c r="Q71" s="2" t="str">
        <f ca="1">IFERROR(__xludf.DUMMYFUNCTION("""COMPUTED_VALUE"""),"0087")</f>
        <v>0087</v>
      </c>
      <c r="R71" s="2" t="str">
        <f ca="1">IFERROR(__xludf.DUMMYFUNCTION("""COMPUTED_VALUE"""),"06.001.0010.0302.0094.2042.31.91.13")</f>
        <v>06.001.0010.0302.0094.2042.31.91.13</v>
      </c>
      <c r="S71" s="2" t="str">
        <f ca="1">IFERROR(__xludf.DUMMYFUNCTION("""COMPUTED_VALUE"""),"04942")</f>
        <v>04942</v>
      </c>
      <c r="T71" s="2">
        <f ca="1">IFERROR(__xludf.DUMMYFUNCTION("""COMPUTED_VALUE"""),2024)</f>
        <v>2024</v>
      </c>
      <c r="U71" s="2" t="str">
        <f ca="1">IFERROR(__xludf.DUMMYFUNCTION("""COMPUTED_VALUE"""),"0096")</f>
        <v>0096</v>
      </c>
      <c r="V71" s="2" t="str">
        <f ca="1">IFERROR(__xludf.DUMMYFUNCTION("""COMPUTED_VALUE"""),"05.001.0012.0361.0074.6018.33.90.30")</f>
        <v>05.001.0012.0361.0074.6018.33.90.30</v>
      </c>
      <c r="W71" s="2" t="str">
        <f ca="1">IFERROR(__xludf.DUMMYFUNCTION("""COMPUTED_VALUE"""),"0")</f>
        <v>0</v>
      </c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>
        <f ca="1">IFERROR(__xludf.DUMMYFUNCTION("""COMPUTED_VALUE"""),2023)</f>
        <v>2023</v>
      </c>
      <c r="Q72" s="2" t="str">
        <f ca="1">IFERROR(__xludf.DUMMYFUNCTION("""COMPUTED_VALUE"""),"0088")</f>
        <v>0088</v>
      </c>
      <c r="R72" s="2" t="str">
        <f ca="1">IFERROR(__xludf.DUMMYFUNCTION("""COMPUTED_VALUE"""),"06.001.0010.0302.0094.2043.31.91.13")</f>
        <v>06.001.0010.0302.0094.2043.31.91.13</v>
      </c>
      <c r="S72" s="2" t="str">
        <f ca="1">IFERROR(__xludf.DUMMYFUNCTION("""COMPUTED_VALUE"""),"00303")</f>
        <v>00303</v>
      </c>
      <c r="T72" s="2">
        <f ca="1">IFERROR(__xludf.DUMMYFUNCTION("""COMPUTED_VALUE"""),2024)</f>
        <v>2024</v>
      </c>
      <c r="U72" s="2" t="str">
        <f ca="1">IFERROR(__xludf.DUMMYFUNCTION("""COMPUTED_VALUE"""),"0101")</f>
        <v>0101</v>
      </c>
      <c r="V72" s="2" t="str">
        <f ca="1">IFERROR(__xludf.DUMMYFUNCTION("""COMPUTED_VALUE"""),"05.001.0012.0361.0074.6018.33.90.30")</f>
        <v>05.001.0012.0361.0074.6018.33.90.30</v>
      </c>
      <c r="W72" s="2" t="str">
        <f ca="1">IFERROR(__xludf.DUMMYFUNCTION("""COMPUTED_VALUE"""),"39")</f>
        <v>39</v>
      </c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>
        <f ca="1">IFERROR(__xludf.DUMMYFUNCTION("""COMPUTED_VALUE"""),2023)</f>
        <v>2023</v>
      </c>
      <c r="Q73" s="2" t="str">
        <f ca="1">IFERROR(__xludf.DUMMYFUNCTION("""COMPUTED_VALUE"""),"0089")</f>
        <v>0089</v>
      </c>
      <c r="R73" s="2" t="str">
        <f ca="1">IFERROR(__xludf.DUMMYFUNCTION("""COMPUTED_VALUE"""),"06.001.0010.0302.0094.2043.31.91.13")</f>
        <v>06.001.0010.0302.0094.2043.31.91.13</v>
      </c>
      <c r="S73" s="2" t="str">
        <f ca="1">IFERROR(__xludf.DUMMYFUNCTION("""COMPUTED_VALUE"""),"04942")</f>
        <v>04942</v>
      </c>
      <c r="T73" s="2">
        <f ca="1">IFERROR(__xludf.DUMMYFUNCTION("""COMPUTED_VALUE"""),2024)</f>
        <v>2024</v>
      </c>
      <c r="U73" s="2" t="str">
        <f ca="1">IFERROR(__xludf.DUMMYFUNCTION("""COMPUTED_VALUE"""),"0103")</f>
        <v>0103</v>
      </c>
      <c r="V73" s="2" t="str">
        <f ca="1">IFERROR(__xludf.DUMMYFUNCTION("""COMPUTED_VALUE"""),"05.001.0012.0361.0074.6018.33.90.30")</f>
        <v>05.001.0012.0361.0074.6018.33.90.30</v>
      </c>
      <c r="W73" s="2" t="str">
        <f ca="1">IFERROR(__xludf.DUMMYFUNCTION("""COMPUTED_VALUE"""),"102")</f>
        <v>102</v>
      </c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>
        <f ca="1">IFERROR(__xludf.DUMMYFUNCTION("""COMPUTED_VALUE"""),2023)</f>
        <v>2023</v>
      </c>
      <c r="Q74" s="2" t="str">
        <f ca="1">IFERROR(__xludf.DUMMYFUNCTION("""COMPUTED_VALUE"""),"0090")</f>
        <v>0090</v>
      </c>
      <c r="R74" s="2" t="str">
        <f ca="1">IFERROR(__xludf.DUMMYFUNCTION("""COMPUTED_VALUE"""),"06.001.0010.0304.0094.2046.31.91.13")</f>
        <v>06.001.0010.0304.0094.2046.31.91.13</v>
      </c>
      <c r="S74" s="2" t="str">
        <f ca="1">IFERROR(__xludf.DUMMYFUNCTION("""COMPUTED_VALUE"""),"00303")</f>
        <v>00303</v>
      </c>
      <c r="T74" s="2">
        <f ca="1">IFERROR(__xludf.DUMMYFUNCTION("""COMPUTED_VALUE"""),2024)</f>
        <v>2024</v>
      </c>
      <c r="U74" s="2" t="str">
        <f ca="1">IFERROR(__xludf.DUMMYFUNCTION("""COMPUTED_VALUE"""),"0108")</f>
        <v>0108</v>
      </c>
      <c r="V74" s="2" t="str">
        <f ca="1">IFERROR(__xludf.DUMMYFUNCTION("""COMPUTED_VALUE"""),"05.001.0012.0361.0074.6018.33.90.32")</f>
        <v>05.001.0012.0361.0074.6018.33.90.32</v>
      </c>
      <c r="W74" s="2" t="str">
        <f ca="1">IFERROR(__xludf.DUMMYFUNCTION("""COMPUTED_VALUE"""),"104")</f>
        <v>104</v>
      </c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>
        <f ca="1">IFERROR(__xludf.DUMMYFUNCTION("""COMPUTED_VALUE"""),2023)</f>
        <v>2023</v>
      </c>
      <c r="Q75" s="2" t="str">
        <f ca="1">IFERROR(__xludf.DUMMYFUNCTION("""COMPUTED_VALUE"""),"0091")</f>
        <v>0091</v>
      </c>
      <c r="R75" s="2" t="str">
        <f ca="1">IFERROR(__xludf.DUMMYFUNCTION("""COMPUTED_VALUE"""),"06.001.0010.0304.0094.2046.31.91.13")</f>
        <v>06.001.0010.0304.0094.2046.31.91.13</v>
      </c>
      <c r="S75" s="2" t="str">
        <f ca="1">IFERROR(__xludf.DUMMYFUNCTION("""COMPUTED_VALUE"""),"04942")</f>
        <v>04942</v>
      </c>
      <c r="T75" s="2">
        <f ca="1">IFERROR(__xludf.DUMMYFUNCTION("""COMPUTED_VALUE"""),2024)</f>
        <v>2024</v>
      </c>
      <c r="U75" s="2" t="str">
        <f ca="1">IFERROR(__xludf.DUMMYFUNCTION("""COMPUTED_VALUE"""),"0097")</f>
        <v>0097</v>
      </c>
      <c r="V75" s="2" t="str">
        <f ca="1">IFERROR(__xludf.DUMMYFUNCTION("""COMPUTED_VALUE"""),"05.001.0012.0361.0074.6018.33.90.32")</f>
        <v>05.001.0012.0361.0074.6018.33.90.32</v>
      </c>
      <c r="W75" s="2" t="str">
        <f ca="1">IFERROR(__xludf.DUMMYFUNCTION("""COMPUTED_VALUE"""),"0")</f>
        <v>0</v>
      </c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>
        <f ca="1">IFERROR(__xludf.DUMMYFUNCTION("""COMPUTED_VALUE"""),2023)</f>
        <v>2023</v>
      </c>
      <c r="Q76" s="2" t="str">
        <f ca="1">IFERROR(__xludf.DUMMYFUNCTION("""COMPUTED_VALUE"""),"0092")</f>
        <v>0092</v>
      </c>
      <c r="R76" s="2" t="str">
        <f ca="1">IFERROR(__xludf.DUMMYFUNCTION("""COMPUTED_VALUE"""),"06.001.0010.0304.0094.2046.31.91.13")</f>
        <v>06.001.0010.0304.0094.2046.31.91.13</v>
      </c>
      <c r="S76" s="2" t="str">
        <f ca="1">IFERROR(__xludf.DUMMYFUNCTION("""COMPUTED_VALUE"""),"05101")</f>
        <v>05101</v>
      </c>
      <c r="T76" s="2">
        <f ca="1">IFERROR(__xludf.DUMMYFUNCTION("""COMPUTED_VALUE"""),2024)</f>
        <v>2024</v>
      </c>
      <c r="U76" s="2" t="str">
        <f ca="1">IFERROR(__xludf.DUMMYFUNCTION("""COMPUTED_VALUE"""),"0104")</f>
        <v>0104</v>
      </c>
      <c r="V76" s="2" t="str">
        <f ca="1">IFERROR(__xludf.DUMMYFUNCTION("""COMPUTED_VALUE"""),"05.001.0012.0361.0074.6018.33.90.32")</f>
        <v>05.001.0012.0361.0074.6018.33.90.32</v>
      </c>
      <c r="W76" s="2" t="str">
        <f ca="1">IFERROR(__xludf.DUMMYFUNCTION("""COMPUTED_VALUE"""),"102")</f>
        <v>102</v>
      </c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>
        <f ca="1">IFERROR(__xludf.DUMMYFUNCTION("""COMPUTED_VALUE"""),2023)</f>
        <v>2023</v>
      </c>
      <c r="Q77" s="2" t="str">
        <f ca="1">IFERROR(__xludf.DUMMYFUNCTION("""COMPUTED_VALUE"""),"0093")</f>
        <v>0093</v>
      </c>
      <c r="R77" s="2" t="str">
        <f ca="1">IFERROR(__xludf.DUMMYFUNCTION("""COMPUTED_VALUE"""),"06.001.0010.0122.0094.2047.31.91.13")</f>
        <v>06.001.0010.0122.0094.2047.31.91.13</v>
      </c>
      <c r="S77" s="2" t="str">
        <f ca="1">IFERROR(__xludf.DUMMYFUNCTION("""COMPUTED_VALUE"""),"00303")</f>
        <v>00303</v>
      </c>
      <c r="T77" s="2">
        <f ca="1">IFERROR(__xludf.DUMMYFUNCTION("""COMPUTED_VALUE"""),2024)</f>
        <v>2024</v>
      </c>
      <c r="U77" s="2" t="str">
        <f ca="1">IFERROR(__xludf.DUMMYFUNCTION("""COMPUTED_VALUE"""),"0109")</f>
        <v>0109</v>
      </c>
      <c r="V77" s="2" t="str">
        <f ca="1">IFERROR(__xludf.DUMMYFUNCTION("""COMPUTED_VALUE"""),"05.001.0012.0361.0074.6018.33.90.33")</f>
        <v>05.001.0012.0361.0074.6018.33.90.33</v>
      </c>
      <c r="W77" s="2" t="str">
        <f ca="1">IFERROR(__xludf.DUMMYFUNCTION("""COMPUTED_VALUE"""),"104")</f>
        <v>104</v>
      </c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>
        <f ca="1">IFERROR(__xludf.DUMMYFUNCTION("""COMPUTED_VALUE"""),2023)</f>
        <v>2023</v>
      </c>
      <c r="Q78" s="2" t="str">
        <f ca="1">IFERROR(__xludf.DUMMYFUNCTION("""COMPUTED_VALUE"""),"0094")</f>
        <v>0094</v>
      </c>
      <c r="R78" s="2" t="str">
        <f ca="1">IFERROR(__xludf.DUMMYFUNCTION("""COMPUTED_VALUE"""),"07.003.0015.0452.0107.2133.31.91.13")</f>
        <v>07.003.0015.0452.0107.2133.31.91.13</v>
      </c>
      <c r="S78" s="2" t="str">
        <f ca="1">IFERROR(__xludf.DUMMYFUNCTION("""COMPUTED_VALUE"""),"00507")</f>
        <v>00507</v>
      </c>
      <c r="T78" s="2">
        <f ca="1">IFERROR(__xludf.DUMMYFUNCTION("""COMPUTED_VALUE"""),2024)</f>
        <v>2024</v>
      </c>
      <c r="U78" s="2" t="str">
        <f ca="1">IFERROR(__xludf.DUMMYFUNCTION("""COMPUTED_VALUE"""),"0098")</f>
        <v>0098</v>
      </c>
      <c r="V78" s="2" t="str">
        <f ca="1">IFERROR(__xludf.DUMMYFUNCTION("""COMPUTED_VALUE"""),"05.001.0012.0361.0074.6018.33.90.33")</f>
        <v>05.001.0012.0361.0074.6018.33.90.33</v>
      </c>
      <c r="W78" s="2" t="str">
        <f ca="1">IFERROR(__xludf.DUMMYFUNCTION("""COMPUTED_VALUE"""),"0")</f>
        <v>0</v>
      </c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>
        <f ca="1">IFERROR(__xludf.DUMMYFUNCTION("""COMPUTED_VALUE"""),2023)</f>
        <v>2023</v>
      </c>
      <c r="Q79" s="2" t="str">
        <f ca="1">IFERROR(__xludf.DUMMYFUNCTION("""COMPUTED_VALUE"""),"0095")</f>
        <v>0095</v>
      </c>
      <c r="R79" s="2" t="str">
        <f ca="1">IFERROR(__xludf.DUMMYFUNCTION("""COMPUTED_VALUE"""),"14.001.0028.0846.0000.0008.32.90.21")</f>
        <v>14.001.0028.0846.0000.0008.32.90.21</v>
      </c>
      <c r="S79" s="2" t="str">
        <f ca="1">IFERROR(__xludf.DUMMYFUNCTION("""COMPUTED_VALUE"""),"0000")</f>
        <v>0000</v>
      </c>
      <c r="T79" s="2">
        <f ca="1">IFERROR(__xludf.DUMMYFUNCTION("""COMPUTED_VALUE"""),2024)</f>
        <v>2024</v>
      </c>
      <c r="U79" s="2" t="str">
        <f ca="1">IFERROR(__xludf.DUMMYFUNCTION("""COMPUTED_VALUE"""),"0110")</f>
        <v>0110</v>
      </c>
      <c r="V79" s="2" t="str">
        <f ca="1">IFERROR(__xludf.DUMMYFUNCTION("""COMPUTED_VALUE"""),"05.001.0012.0361.0074.6018.33.90.33")</f>
        <v>05.001.0012.0361.0074.6018.33.90.33</v>
      </c>
      <c r="W79" s="2" t="str">
        <f ca="1">IFERROR(__xludf.DUMMYFUNCTION("""COMPUTED_VALUE"""),"104")</f>
        <v>104</v>
      </c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>
        <f ca="1">IFERROR(__xludf.DUMMYFUNCTION("""COMPUTED_VALUE"""),2023)</f>
        <v>2023</v>
      </c>
      <c r="Q80" s="2" t="str">
        <f ca="1">IFERROR(__xludf.DUMMYFUNCTION("""COMPUTED_VALUE"""),"0096")</f>
        <v>0096</v>
      </c>
      <c r="R80" s="2" t="str">
        <f ca="1">IFERROR(__xludf.DUMMYFUNCTION("""COMPUTED_VALUE"""),"06.001.0010.0301.0094.1023.33.30.93")</f>
        <v>06.001.0010.0301.0094.1023.33.30.93</v>
      </c>
      <c r="S80" s="2" t="str">
        <f ca="1">IFERROR(__xludf.DUMMYFUNCTION("""COMPUTED_VALUE"""),"00303")</f>
        <v>00303</v>
      </c>
      <c r="T80" s="2">
        <f ca="1">IFERROR(__xludf.DUMMYFUNCTION("""COMPUTED_VALUE"""),2024)</f>
        <v>2024</v>
      </c>
      <c r="U80" s="2" t="str">
        <f ca="1">IFERROR(__xludf.DUMMYFUNCTION("""COMPUTED_VALUE"""),"0119")</f>
        <v>0119</v>
      </c>
      <c r="V80" s="2" t="str">
        <f ca="1">IFERROR(__xludf.DUMMYFUNCTION("""COMPUTED_VALUE"""),"05.001.0012.0361.0074.6018.33.90.35")</f>
        <v>05.001.0012.0361.0074.6018.33.90.35</v>
      </c>
      <c r="W80" s="2" t="str">
        <f ca="1">IFERROR(__xludf.DUMMYFUNCTION("""COMPUTED_VALUE"""),"118")</f>
        <v>118</v>
      </c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>
        <f ca="1">IFERROR(__xludf.DUMMYFUNCTION("""COMPUTED_VALUE"""),2023)</f>
        <v>2023</v>
      </c>
      <c r="Q81" s="2" t="str">
        <f ca="1">IFERROR(__xludf.DUMMYFUNCTION("""COMPUTED_VALUE"""),"0097")</f>
        <v>0097</v>
      </c>
      <c r="R81" s="2" t="str">
        <f ca="1">IFERROR(__xludf.DUMMYFUNCTION("""COMPUTED_VALUE"""),"05.001.0012.0367.0074.5007.33.50.43")</f>
        <v>05.001.0012.0367.0074.5007.33.50.43</v>
      </c>
      <c r="S81" s="2" t="str">
        <f ca="1">IFERROR(__xludf.DUMMYFUNCTION("""COMPUTED_VALUE"""),"00102")</f>
        <v>00102</v>
      </c>
      <c r="T81" s="2">
        <f ca="1">IFERROR(__xludf.DUMMYFUNCTION("""COMPUTED_VALUE"""),2024)</f>
        <v>2024</v>
      </c>
      <c r="U81" s="2" t="str">
        <f ca="1">IFERROR(__xludf.DUMMYFUNCTION("""COMPUTED_VALUE"""),"0111")</f>
        <v>0111</v>
      </c>
      <c r="V81" s="2" t="str">
        <f ca="1">IFERROR(__xludf.DUMMYFUNCTION("""COMPUTED_VALUE"""),"05.001.0012.0361.0074.6018.33.90.36")</f>
        <v>05.001.0012.0361.0074.6018.33.90.36</v>
      </c>
      <c r="W81" s="2" t="str">
        <f ca="1">IFERROR(__xludf.DUMMYFUNCTION("""COMPUTED_VALUE"""),"104")</f>
        <v>104</v>
      </c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>
        <f ca="1">IFERROR(__xludf.DUMMYFUNCTION("""COMPUTED_VALUE"""),2023)</f>
        <v>2023</v>
      </c>
      <c r="Q82" s="2" t="str">
        <f ca="1">IFERROR(__xludf.DUMMYFUNCTION("""COMPUTED_VALUE"""),"0098")</f>
        <v>0098</v>
      </c>
      <c r="R82" s="2" t="str">
        <f ca="1">IFERROR(__xludf.DUMMYFUNCTION("""COMPUTED_VALUE"""),"05.001.0012.0365.0074.5008.33.50.43")</f>
        <v>05.001.0012.0365.0074.5008.33.50.43</v>
      </c>
      <c r="S82" s="2" t="str">
        <f ca="1">IFERROR(__xludf.DUMMYFUNCTION("""COMPUTED_VALUE"""),"00102")</f>
        <v>00102</v>
      </c>
      <c r="T82" s="2">
        <f ca="1">IFERROR(__xludf.DUMMYFUNCTION("""COMPUTED_VALUE"""),2024)</f>
        <v>2024</v>
      </c>
      <c r="U82" s="2" t="str">
        <f ca="1">IFERROR(__xludf.DUMMYFUNCTION("""COMPUTED_VALUE"""),"0105")</f>
        <v>0105</v>
      </c>
      <c r="V82" s="2" t="str">
        <f ca="1">IFERROR(__xludf.DUMMYFUNCTION("""COMPUTED_VALUE"""),"05.001.0012.0361.0074.6018.33.90.36")</f>
        <v>05.001.0012.0361.0074.6018.33.90.36</v>
      </c>
      <c r="W82" s="2" t="str">
        <f ca="1">IFERROR(__xludf.DUMMYFUNCTION("""COMPUTED_VALUE"""),"102")</f>
        <v>102</v>
      </c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f ca="1">IFERROR(__xludf.DUMMYFUNCTION("""COMPUTED_VALUE"""),2023)</f>
        <v>2023</v>
      </c>
      <c r="Q83" s="2" t="str">
        <f ca="1">IFERROR(__xludf.DUMMYFUNCTION("""COMPUTED_VALUE"""),"0099")</f>
        <v>0099</v>
      </c>
      <c r="R83" s="2" t="str">
        <f ca="1">IFERROR(__xludf.DUMMYFUNCTION("""COMPUTED_VALUE"""),"05.001.0004.0122.0074.6009.33.50.43")</f>
        <v>05.001.0004.0122.0074.6009.33.50.43</v>
      </c>
      <c r="S83" s="2" t="str">
        <f ca="1">IFERROR(__xludf.DUMMYFUNCTION("""COMPUTED_VALUE"""),"0000")</f>
        <v>0000</v>
      </c>
      <c r="T83" s="2">
        <f ca="1">IFERROR(__xludf.DUMMYFUNCTION("""COMPUTED_VALUE"""),2024)</f>
        <v>2024</v>
      </c>
      <c r="U83" s="2" t="str">
        <f ca="1">IFERROR(__xludf.DUMMYFUNCTION("""COMPUTED_VALUE"""),"0112")</f>
        <v>0112</v>
      </c>
      <c r="V83" s="2" t="str">
        <f ca="1">IFERROR(__xludf.DUMMYFUNCTION("""COMPUTED_VALUE"""),"05.001.0012.0361.0074.6018.33.90.37")</f>
        <v>05.001.0012.0361.0074.6018.33.90.37</v>
      </c>
      <c r="W83" s="2" t="str">
        <f ca="1">IFERROR(__xludf.DUMMYFUNCTION("""COMPUTED_VALUE"""),"104")</f>
        <v>104</v>
      </c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>
        <f ca="1">IFERROR(__xludf.DUMMYFUNCTION("""COMPUTED_VALUE"""),2023)</f>
        <v>2023</v>
      </c>
      <c r="Q84" s="2" t="str">
        <f ca="1">IFERROR(__xludf.DUMMYFUNCTION("""COMPUTED_VALUE"""),"0100")</f>
        <v>0100</v>
      </c>
      <c r="R84" s="2" t="str">
        <f ca="1">IFERROR(__xludf.DUMMYFUNCTION("""COMPUTED_VALUE"""),"11.007.0013.0392.0082.2017.33.50.43")</f>
        <v>11.007.0013.0392.0082.2017.33.50.43</v>
      </c>
      <c r="S84" s="2" t="str">
        <f ca="1">IFERROR(__xludf.DUMMYFUNCTION("""COMPUTED_VALUE"""),"00032")</f>
        <v>00032</v>
      </c>
      <c r="T84" s="2">
        <f ca="1">IFERROR(__xludf.DUMMYFUNCTION("""COMPUTED_VALUE"""),2024)</f>
        <v>2024</v>
      </c>
      <c r="U84" s="2" t="str">
        <f ca="1">IFERROR(__xludf.DUMMYFUNCTION("""COMPUTED_VALUE"""),"0106")</f>
        <v>0106</v>
      </c>
      <c r="V84" s="2" t="str">
        <f ca="1">IFERROR(__xludf.DUMMYFUNCTION("""COMPUTED_VALUE"""),"05.001.0012.0361.0074.6018.33.90.37")</f>
        <v>05.001.0012.0361.0074.6018.33.90.37</v>
      </c>
      <c r="W84" s="2" t="str">
        <f ca="1">IFERROR(__xludf.DUMMYFUNCTION("""COMPUTED_VALUE"""),"102")</f>
        <v>102</v>
      </c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>
        <f ca="1">IFERROR(__xludf.DUMMYFUNCTION("""COMPUTED_VALUE"""),2023)</f>
        <v>2023</v>
      </c>
      <c r="Q85" s="2" t="str">
        <f ca="1">IFERROR(__xludf.DUMMYFUNCTION("""COMPUTED_VALUE"""),"0101")</f>
        <v>0101</v>
      </c>
      <c r="R85" s="2" t="str">
        <f ca="1">IFERROR(__xludf.DUMMYFUNCTION("""COMPUTED_VALUE"""),"11.003.0027.0812.0083.2016.33.50.43")</f>
        <v>11.003.0027.0812.0083.2016.33.50.43</v>
      </c>
      <c r="S85" s="2" t="str">
        <f ca="1">IFERROR(__xludf.DUMMYFUNCTION("""COMPUTED_VALUE"""),"00038")</f>
        <v>00038</v>
      </c>
      <c r="T85" s="2">
        <f ca="1">IFERROR(__xludf.DUMMYFUNCTION("""COMPUTED_VALUE"""),2024)</f>
        <v>2024</v>
      </c>
      <c r="U85" s="2" t="str">
        <f ca="1">IFERROR(__xludf.DUMMYFUNCTION("""COMPUTED_VALUE"""),"0113")</f>
        <v>0113</v>
      </c>
      <c r="V85" s="2" t="str">
        <f ca="1">IFERROR(__xludf.DUMMYFUNCTION("""COMPUTED_VALUE"""),"05.001.0012.0361.0074.6018.33.90.39")</f>
        <v>05.001.0012.0361.0074.6018.33.90.39</v>
      </c>
      <c r="W85" s="2" t="str">
        <f ca="1">IFERROR(__xludf.DUMMYFUNCTION("""COMPUTED_VALUE"""),"104")</f>
        <v>104</v>
      </c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>
        <f ca="1">IFERROR(__xludf.DUMMYFUNCTION("""COMPUTED_VALUE"""),2023)</f>
        <v>2023</v>
      </c>
      <c r="Q86" s="2" t="str">
        <f ca="1">IFERROR(__xludf.DUMMYFUNCTION("""COMPUTED_VALUE"""),"0103")</f>
        <v>0103</v>
      </c>
      <c r="R86" s="2" t="str">
        <f ca="1">IFERROR(__xludf.DUMMYFUNCTION("""COMPUTED_VALUE"""),"08.003.0008.0244.0118.2030.33.50.43")</f>
        <v>08.003.0008.0244.0118.2030.33.50.43</v>
      </c>
      <c r="S86" s="2" t="str">
        <f ca="1">IFERROR(__xludf.DUMMYFUNCTION("""COMPUTED_VALUE"""),"0000")</f>
        <v>0000</v>
      </c>
      <c r="T86" s="2">
        <f ca="1">IFERROR(__xludf.DUMMYFUNCTION("""COMPUTED_VALUE"""),2024)</f>
        <v>2024</v>
      </c>
      <c r="U86" s="2" t="str">
        <f ca="1">IFERROR(__xludf.DUMMYFUNCTION("""COMPUTED_VALUE"""),"0099")</f>
        <v>0099</v>
      </c>
      <c r="V86" s="2" t="str">
        <f ca="1">IFERROR(__xludf.DUMMYFUNCTION("""COMPUTED_VALUE"""),"05.001.0012.0361.0074.6018.33.90.39")</f>
        <v>05.001.0012.0361.0074.6018.33.90.39</v>
      </c>
      <c r="W86" s="2" t="str">
        <f ca="1">IFERROR(__xludf.DUMMYFUNCTION("""COMPUTED_VALUE"""),"0")</f>
        <v>0</v>
      </c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>
        <f ca="1">IFERROR(__xludf.DUMMYFUNCTION("""COMPUTED_VALUE"""),2023)</f>
        <v>2023</v>
      </c>
      <c r="Q87" s="2" t="str">
        <f ca="1">IFERROR(__xludf.DUMMYFUNCTION("""COMPUTED_VALUE"""),"0105")</f>
        <v>0105</v>
      </c>
      <c r="R87" s="2" t="str">
        <f ca="1">IFERROR(__xludf.DUMMYFUNCTION("""COMPUTED_VALUE"""),"08.007.0008.0241.0118.2031.33.50.43")</f>
        <v>08.007.0008.0241.0118.2031.33.50.43</v>
      </c>
      <c r="S87" s="2" t="str">
        <f ca="1">IFERROR(__xludf.DUMMYFUNCTION("""COMPUTED_VALUE"""),"0000")</f>
        <v>0000</v>
      </c>
      <c r="T87" s="2">
        <f ca="1">IFERROR(__xludf.DUMMYFUNCTION("""COMPUTED_VALUE"""),2024)</f>
        <v>2024</v>
      </c>
      <c r="U87" s="2" t="str">
        <f ca="1">IFERROR(__xludf.DUMMYFUNCTION("""COMPUTED_VALUE"""),"0102")</f>
        <v>0102</v>
      </c>
      <c r="V87" s="2" t="str">
        <f ca="1">IFERROR(__xludf.DUMMYFUNCTION("""COMPUTED_VALUE"""),"05.001.0012.0361.0074.6018.33.90.39")</f>
        <v>05.001.0012.0361.0074.6018.33.90.39</v>
      </c>
      <c r="W87" s="2" t="str">
        <f ca="1">IFERROR(__xludf.DUMMYFUNCTION("""COMPUTED_VALUE"""),"39")</f>
        <v>39</v>
      </c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>
        <f ca="1">IFERROR(__xludf.DUMMYFUNCTION("""COMPUTED_VALUE"""),2023)</f>
        <v>2023</v>
      </c>
      <c r="Q88" s="2" t="str">
        <f ca="1">IFERROR(__xludf.DUMMYFUNCTION("""COMPUTED_VALUE"""),"0106")</f>
        <v>0106</v>
      </c>
      <c r="R88" s="2" t="str">
        <f ca="1">IFERROR(__xludf.DUMMYFUNCTION("""COMPUTED_VALUE"""),"08.005.0008.0243.0118.6001.33.50.43")</f>
        <v>08.005.0008.0243.0118.6001.33.50.43</v>
      </c>
      <c r="S88" s="2" t="str">
        <f ca="1">IFERROR(__xludf.DUMMYFUNCTION("""COMPUTED_VALUE"""),"0000")</f>
        <v>0000</v>
      </c>
      <c r="T88" s="2">
        <f ca="1">IFERROR(__xludf.DUMMYFUNCTION("""COMPUTED_VALUE"""),2024)</f>
        <v>2024</v>
      </c>
      <c r="U88" s="2" t="str">
        <f ca="1">IFERROR(__xludf.DUMMYFUNCTION("""COMPUTED_VALUE"""),"0107")</f>
        <v>0107</v>
      </c>
      <c r="V88" s="2" t="str">
        <f ca="1">IFERROR(__xludf.DUMMYFUNCTION("""COMPUTED_VALUE"""),"05.001.0012.0361.0074.6018.33.90.39")</f>
        <v>05.001.0012.0361.0074.6018.33.90.39</v>
      </c>
      <c r="W88" s="2" t="str">
        <f ca="1">IFERROR(__xludf.DUMMYFUNCTION("""COMPUTED_VALUE"""),"102")</f>
        <v>102</v>
      </c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>
        <f ca="1">IFERROR(__xludf.DUMMYFUNCTION("""COMPUTED_VALUE"""),2023)</f>
        <v>2023</v>
      </c>
      <c r="Q89" s="2" t="str">
        <f ca="1">IFERROR(__xludf.DUMMYFUNCTION("""COMPUTED_VALUE"""),"0107")</f>
        <v>0107</v>
      </c>
      <c r="R89" s="2" t="str">
        <f ca="1">IFERROR(__xludf.DUMMYFUNCTION("""COMPUTED_VALUE"""),"08.005.0008.0243.0118.6001.33.50.43")</f>
        <v>08.005.0008.0243.0118.6001.33.50.43</v>
      </c>
      <c r="S89" s="2" t="str">
        <f ca="1">IFERROR(__xludf.DUMMYFUNCTION("""COMPUTED_VALUE"""),"00880")</f>
        <v>00880</v>
      </c>
      <c r="T89" s="2">
        <f ca="1">IFERROR(__xludf.DUMMYFUNCTION("""COMPUTED_VALUE"""),2024)</f>
        <v>2024</v>
      </c>
      <c r="U89" s="2" t="str">
        <f ca="1">IFERROR(__xludf.DUMMYFUNCTION("""COMPUTED_VALUE"""),"0114")</f>
        <v>0114</v>
      </c>
      <c r="V89" s="2" t="str">
        <f ca="1">IFERROR(__xludf.DUMMYFUNCTION("""COMPUTED_VALUE"""),"05.001.0012.0361.0074.6018.33.90.40")</f>
        <v>05.001.0012.0361.0074.6018.33.90.40</v>
      </c>
      <c r="W89" s="2" t="str">
        <f ca="1">IFERROR(__xludf.DUMMYFUNCTION("""COMPUTED_VALUE"""),"104")</f>
        <v>104</v>
      </c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>
        <f ca="1">IFERROR(__xludf.DUMMYFUNCTION("""COMPUTED_VALUE"""),2023)</f>
        <v>2023</v>
      </c>
      <c r="Q90" s="2" t="str">
        <f ca="1">IFERROR(__xludf.DUMMYFUNCTION("""COMPUTED_VALUE"""),"0113")</f>
        <v>0113</v>
      </c>
      <c r="R90" s="2" t="str">
        <f ca="1">IFERROR(__xludf.DUMMYFUNCTION("""COMPUTED_VALUE"""),"11.007.0013.0392.0082.2017.33.60.45")</f>
        <v>11.007.0013.0392.0082.2017.33.60.45</v>
      </c>
      <c r="S90" s="2" t="str">
        <f ca="1">IFERROR(__xludf.DUMMYFUNCTION("""COMPUTED_VALUE"""),"00032")</f>
        <v>00032</v>
      </c>
      <c r="T90" s="2">
        <f ca="1">IFERROR(__xludf.DUMMYFUNCTION("""COMPUTED_VALUE"""),2024)</f>
        <v>2024</v>
      </c>
      <c r="U90" s="2" t="str">
        <f ca="1">IFERROR(__xludf.DUMMYFUNCTION("""COMPUTED_VALUE"""),"0115")</f>
        <v>0115</v>
      </c>
      <c r="V90" s="2" t="str">
        <f ca="1">IFERROR(__xludf.DUMMYFUNCTION("""COMPUTED_VALUE"""),"05.001.0012.0361.0074.6018.33.90.93")</f>
        <v>05.001.0012.0361.0074.6018.33.90.93</v>
      </c>
      <c r="W90" s="2" t="str">
        <f ca="1">IFERROR(__xludf.DUMMYFUNCTION("""COMPUTED_VALUE"""),"104")</f>
        <v>104</v>
      </c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>
        <f ca="1">IFERROR(__xludf.DUMMYFUNCTION("""COMPUTED_VALUE"""),2023)</f>
        <v>2023</v>
      </c>
      <c r="Q91" s="2" t="str">
        <f ca="1">IFERROR(__xludf.DUMMYFUNCTION("""COMPUTED_VALUE"""),"0114")</f>
        <v>0114</v>
      </c>
      <c r="R91" s="2" t="str">
        <f ca="1">IFERROR(__xludf.DUMMYFUNCTION("""COMPUTED_VALUE"""),"11.003.0027.0812.0083.2016.33.60.45")</f>
        <v>11.003.0027.0812.0083.2016.33.60.45</v>
      </c>
      <c r="S91" s="2" t="str">
        <f ca="1">IFERROR(__xludf.DUMMYFUNCTION("""COMPUTED_VALUE"""),"00038")</f>
        <v>00038</v>
      </c>
      <c r="T91" s="2">
        <f ca="1">IFERROR(__xludf.DUMMYFUNCTION("""COMPUTED_VALUE"""),2024)</f>
        <v>2024</v>
      </c>
      <c r="U91" s="2" t="str">
        <f ca="1">IFERROR(__xludf.DUMMYFUNCTION("""COMPUTED_VALUE"""),"0100")</f>
        <v>0100</v>
      </c>
      <c r="V91" s="2" t="str">
        <f ca="1">IFERROR(__xludf.DUMMYFUNCTION("""COMPUTED_VALUE"""),"05.001.0012.0361.0074.6018.33.90.93")</f>
        <v>05.001.0012.0361.0074.6018.33.90.93</v>
      </c>
      <c r="W91" s="2" t="str">
        <f ca="1">IFERROR(__xludf.DUMMYFUNCTION("""COMPUTED_VALUE"""),"0")</f>
        <v>0</v>
      </c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>
        <f ca="1">IFERROR(__xludf.DUMMYFUNCTION("""COMPUTED_VALUE"""),2023)</f>
        <v>2023</v>
      </c>
      <c r="Q92" s="2" t="str">
        <f ca="1">IFERROR(__xludf.DUMMYFUNCTION("""COMPUTED_VALUE"""),"0115")</f>
        <v>0115</v>
      </c>
      <c r="R92" s="2" t="str">
        <f ca="1">IFERROR(__xludf.DUMMYFUNCTION("""COMPUTED_VALUE"""),"06.001.0010.0301.0094.2039.33.71.70")</f>
        <v>06.001.0010.0301.0094.2039.33.71.70</v>
      </c>
      <c r="S92" s="2" t="str">
        <f ca="1">IFERROR(__xludf.DUMMYFUNCTION("""COMPUTED_VALUE"""),"00303")</f>
        <v>00303</v>
      </c>
      <c r="T92" s="2">
        <f ca="1">IFERROR(__xludf.DUMMYFUNCTION("""COMPUTED_VALUE"""),2024)</f>
        <v>2024</v>
      </c>
      <c r="U92" s="2" t="str">
        <f ca="1">IFERROR(__xludf.DUMMYFUNCTION("""COMPUTED_VALUE"""),"0123")</f>
        <v>0123</v>
      </c>
      <c r="V92" s="2" t="str">
        <f ca="1">IFERROR(__xludf.DUMMYFUNCTION("""COMPUTED_VALUE"""),"05.001.0012.0361.0074.6018.44.90.30")</f>
        <v>05.001.0012.0361.0074.6018.44.90.30</v>
      </c>
      <c r="W92" s="2" t="str">
        <f ca="1">IFERROR(__xludf.DUMMYFUNCTION("""COMPUTED_VALUE"""),"1043")</f>
        <v>1043</v>
      </c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>
        <f ca="1">IFERROR(__xludf.DUMMYFUNCTION("""COMPUTED_VALUE"""),2023)</f>
        <v>2023</v>
      </c>
      <c r="Q93" s="2" t="str">
        <f ca="1">IFERROR(__xludf.DUMMYFUNCTION("""COMPUTED_VALUE"""),"0117")</f>
        <v>0117</v>
      </c>
      <c r="R93" s="2" t="str">
        <f ca="1">IFERROR(__xludf.DUMMYFUNCTION("""COMPUTED_VALUE"""),"06.001.0010.0302.0094.2045.33.71.70")</f>
        <v>06.001.0010.0302.0094.2045.33.71.70</v>
      </c>
      <c r="S93" s="2" t="str">
        <f ca="1">IFERROR(__xludf.DUMMYFUNCTION("""COMPUTED_VALUE"""),"00303")</f>
        <v>00303</v>
      </c>
      <c r="T93" s="2">
        <f ca="1">IFERROR(__xludf.DUMMYFUNCTION("""COMPUTED_VALUE"""),2024)</f>
        <v>2024</v>
      </c>
      <c r="U93" s="2" t="str">
        <f ca="1">IFERROR(__xludf.DUMMYFUNCTION("""COMPUTED_VALUE"""),"0116")</f>
        <v>0116</v>
      </c>
      <c r="V93" s="2" t="str">
        <f ca="1">IFERROR(__xludf.DUMMYFUNCTION("""COMPUTED_VALUE"""),"05.001.0012.0361.0074.6018.44.90.39")</f>
        <v>05.001.0012.0361.0074.6018.44.90.39</v>
      </c>
      <c r="W93" s="2" t="str">
        <f ca="1">IFERROR(__xludf.DUMMYFUNCTION("""COMPUTED_VALUE"""),"104")</f>
        <v>104</v>
      </c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>
        <f ca="1">IFERROR(__xludf.DUMMYFUNCTION("""COMPUTED_VALUE"""),2023)</f>
        <v>2023</v>
      </c>
      <c r="Q94" s="2" t="str">
        <f ca="1">IFERROR(__xludf.DUMMYFUNCTION("""COMPUTED_VALUE"""),"0118")</f>
        <v>0118</v>
      </c>
      <c r="R94" s="2" t="str">
        <f ca="1">IFERROR(__xludf.DUMMYFUNCTION("""COMPUTED_VALUE"""),"08.003.0008.0244.0118.2030.33.71.70")</f>
        <v>08.003.0008.0244.0118.2030.33.71.70</v>
      </c>
      <c r="S94" s="2" t="str">
        <f ca="1">IFERROR(__xludf.DUMMYFUNCTION("""COMPUTED_VALUE"""),"0000")</f>
        <v>0000</v>
      </c>
      <c r="T94" s="2">
        <f ca="1">IFERROR(__xludf.DUMMYFUNCTION("""COMPUTED_VALUE"""),2024)</f>
        <v>2024</v>
      </c>
      <c r="U94" s="2" t="str">
        <f ca="1">IFERROR(__xludf.DUMMYFUNCTION("""COMPUTED_VALUE"""),"0117")</f>
        <v>0117</v>
      </c>
      <c r="V94" s="2" t="str">
        <f ca="1">IFERROR(__xludf.DUMMYFUNCTION("""COMPUTED_VALUE"""),"05.001.0012.0365.0074.5008.33.90.39")</f>
        <v>05.001.0012.0365.0074.5008.33.90.39</v>
      </c>
      <c r="W94" s="2" t="str">
        <f ca="1">IFERROR(__xludf.DUMMYFUNCTION("""COMPUTED_VALUE"""),"104")</f>
        <v>104</v>
      </c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>
        <f ca="1">IFERROR(__xludf.DUMMYFUNCTION("""COMPUTED_VALUE"""),2023)</f>
        <v>2023</v>
      </c>
      <c r="Q95" s="2" t="str">
        <f ca="1">IFERROR(__xludf.DUMMYFUNCTION("""COMPUTED_VALUE"""),"0120")</f>
        <v>0120</v>
      </c>
      <c r="R95" s="2" t="str">
        <f ca="1">IFERROR(__xludf.DUMMYFUNCTION("""COMPUTED_VALUE"""),"10.004.0018.0541.0123.1200.33.71.70")</f>
        <v>10.004.0018.0541.0123.1200.33.71.70</v>
      </c>
      <c r="S95" s="2" t="str">
        <f ca="1">IFERROR(__xludf.DUMMYFUNCTION("""COMPUTED_VALUE"""),"00511")</f>
        <v>00511</v>
      </c>
      <c r="T95" s="2">
        <f ca="1">IFERROR(__xludf.DUMMYFUNCTION("""COMPUTED_VALUE"""),2024)</f>
        <v>2024</v>
      </c>
      <c r="U95" s="2" t="str">
        <f ca="1">IFERROR(__xludf.DUMMYFUNCTION("""COMPUTED_VALUE"""),"0130")</f>
        <v>0130</v>
      </c>
      <c r="V95" s="2" t="str">
        <f ca="1">IFERROR(__xludf.DUMMYFUNCTION("""COMPUTED_VALUE"""),"05.001.0012.0365.0074.6007.33.90.32")</f>
        <v>05.001.0012.0365.0074.6007.33.90.32</v>
      </c>
      <c r="W95" s="2" t="str">
        <f ca="1">IFERROR(__xludf.DUMMYFUNCTION("""COMPUTED_VALUE"""),"103")</f>
        <v>103</v>
      </c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>
        <f ca="1">IFERROR(__xludf.DUMMYFUNCTION("""COMPUTED_VALUE"""),2023)</f>
        <v>2023</v>
      </c>
      <c r="Q96" s="2" t="str">
        <f ca="1">IFERROR(__xludf.DUMMYFUNCTION("""COMPUTED_VALUE"""),"0122")</f>
        <v>0122</v>
      </c>
      <c r="R96" s="2" t="str">
        <f ca="1">IFERROR(__xludf.DUMMYFUNCTION("""COMPUTED_VALUE"""),"06.001.0010.0301.0094.2039.33.72.30")</f>
        <v>06.001.0010.0301.0094.2039.33.72.30</v>
      </c>
      <c r="S96" s="2" t="str">
        <f ca="1">IFERROR(__xludf.DUMMYFUNCTION("""COMPUTED_VALUE"""),"04942")</f>
        <v>04942</v>
      </c>
      <c r="T96" s="2">
        <f ca="1">IFERROR(__xludf.DUMMYFUNCTION("""COMPUTED_VALUE"""),2024)</f>
        <v>2024</v>
      </c>
      <c r="U96" s="2" t="str">
        <f ca="1">IFERROR(__xludf.DUMMYFUNCTION("""COMPUTED_VALUE"""),"0131")</f>
        <v>0131</v>
      </c>
      <c r="V96" s="2" t="str">
        <f ca="1">IFERROR(__xludf.DUMMYFUNCTION("""COMPUTED_VALUE"""),"05.001.0012.0365.0074.6013.33.90.32")</f>
        <v>05.001.0012.0365.0074.6013.33.90.32</v>
      </c>
      <c r="W96" s="2" t="str">
        <f ca="1">IFERROR(__xludf.DUMMYFUNCTION("""COMPUTED_VALUE"""),"1042")</f>
        <v>1042</v>
      </c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>
        <f ca="1">IFERROR(__xludf.DUMMYFUNCTION("""COMPUTED_VALUE"""),2023)</f>
        <v>2023</v>
      </c>
      <c r="Q97" s="2" t="str">
        <f ca="1">IFERROR(__xludf.DUMMYFUNCTION("""COMPUTED_VALUE"""),"0126")</f>
        <v>0126</v>
      </c>
      <c r="R97" s="2" t="str">
        <f ca="1">IFERROR(__xludf.DUMMYFUNCTION("""COMPUTED_VALUE"""),"06.001.0010.0301.0094.2039.33.72.32")</f>
        <v>06.001.0010.0301.0094.2039.33.72.32</v>
      </c>
      <c r="S97" s="2" t="str">
        <f ca="1">IFERROR(__xludf.DUMMYFUNCTION("""COMPUTED_VALUE"""),"00303")</f>
        <v>00303</v>
      </c>
      <c r="T97" s="2">
        <f ca="1">IFERROR(__xludf.DUMMYFUNCTION("""COMPUTED_VALUE"""),2024)</f>
        <v>2024</v>
      </c>
      <c r="U97" s="2" t="str">
        <f ca="1">IFERROR(__xludf.DUMMYFUNCTION("""COMPUTED_VALUE"""),"0132")</f>
        <v>0132</v>
      </c>
      <c r="V97" s="2" t="str">
        <f ca="1">IFERROR(__xludf.DUMMYFUNCTION("""COMPUTED_VALUE"""),"05.001.0012.0365.0074.6015.33.90.30")</f>
        <v>05.001.0012.0365.0074.6015.33.90.30</v>
      </c>
      <c r="W97" s="2" t="str">
        <f ca="1">IFERROR(__xludf.DUMMYFUNCTION("""COMPUTED_VALUE"""),"1042")</f>
        <v>1042</v>
      </c>
      <c r="X97" s="2"/>
      <c r="Y97" s="2"/>
      <c r="Z97" s="2"/>
      <c r="AA97" s="2"/>
      <c r="AB97" s="2"/>
      <c r="AC97" s="2"/>
      <c r="AD97" s="2"/>
      <c r="AE97" s="2"/>
      <c r="AF97" s="2"/>
    </row>
    <row r="98" spans="1:32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>
        <f ca="1">IFERROR(__xludf.DUMMYFUNCTION("""COMPUTED_VALUE"""),2023)</f>
        <v>2023</v>
      </c>
      <c r="Q98" s="2" t="str">
        <f ca="1">IFERROR(__xludf.DUMMYFUNCTION("""COMPUTED_VALUE"""),"0130")</f>
        <v>0130</v>
      </c>
      <c r="R98" s="2" t="str">
        <f ca="1">IFERROR(__xludf.DUMMYFUNCTION("""COMPUTED_VALUE"""),"06.001.0010.0302.0094.2042.33.72.39")</f>
        <v>06.001.0010.0302.0094.2042.33.72.39</v>
      </c>
      <c r="S98" s="2" t="str">
        <f ca="1">IFERROR(__xludf.DUMMYFUNCTION("""COMPUTED_VALUE"""),"00303")</f>
        <v>00303</v>
      </c>
      <c r="T98" s="2">
        <f ca="1">IFERROR(__xludf.DUMMYFUNCTION("""COMPUTED_VALUE"""),2024)</f>
        <v>2024</v>
      </c>
      <c r="U98" s="2" t="str">
        <f ca="1">IFERROR(__xludf.DUMMYFUNCTION("""COMPUTED_VALUE"""),"0133")</f>
        <v>0133</v>
      </c>
      <c r="V98" s="2" t="str">
        <f ca="1">IFERROR(__xludf.DUMMYFUNCTION("""COMPUTED_VALUE"""),"05.001.0012.0365.0074.6015.33.90.30")</f>
        <v>05.001.0012.0365.0074.6015.33.90.30</v>
      </c>
      <c r="W98" s="2" t="str">
        <f ca="1">IFERROR(__xludf.DUMMYFUNCTION("""COMPUTED_VALUE"""),"102")</f>
        <v>102</v>
      </c>
      <c r="X98" s="2"/>
      <c r="Y98" s="2"/>
      <c r="Z98" s="2"/>
      <c r="AA98" s="2"/>
      <c r="AB98" s="2"/>
      <c r="AC98" s="2"/>
      <c r="AD98" s="2"/>
      <c r="AE98" s="2"/>
      <c r="AF98" s="2"/>
    </row>
    <row r="99" spans="1:32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>
        <f ca="1">IFERROR(__xludf.DUMMYFUNCTION("""COMPUTED_VALUE"""),2023)</f>
        <v>2023</v>
      </c>
      <c r="Q99" s="2" t="str">
        <f ca="1">IFERROR(__xludf.DUMMYFUNCTION("""COMPUTED_VALUE"""),"0131")</f>
        <v>0131</v>
      </c>
      <c r="R99" s="2" t="str">
        <f ca="1">IFERROR(__xludf.DUMMYFUNCTION("""COMPUTED_VALUE"""),"06.001.0010.0302.0094.2042.33.72.39")</f>
        <v>06.001.0010.0302.0094.2042.33.72.39</v>
      </c>
      <c r="S99" s="2" t="str">
        <f ca="1">IFERROR(__xludf.DUMMYFUNCTION("""COMPUTED_VALUE"""),"04941")</f>
        <v>04941</v>
      </c>
      <c r="T99" s="2">
        <f ca="1">IFERROR(__xludf.DUMMYFUNCTION("""COMPUTED_VALUE"""),2024)</f>
        <v>2024</v>
      </c>
      <c r="U99" s="2" t="str">
        <f ca="1">IFERROR(__xludf.DUMMYFUNCTION("""COMPUTED_VALUE"""),"0136")</f>
        <v>0136</v>
      </c>
      <c r="V99" s="2" t="str">
        <f ca="1">IFERROR(__xludf.DUMMYFUNCTION("""COMPUTED_VALUE"""),"05.001.0012.0365.0074.6015.33.90.32")</f>
        <v>05.001.0012.0365.0074.6015.33.90.32</v>
      </c>
      <c r="W99" s="2" t="str">
        <f ca="1">IFERROR(__xludf.DUMMYFUNCTION("""COMPUTED_VALUE"""),"103")</f>
        <v>103</v>
      </c>
      <c r="X99" s="2"/>
      <c r="Y99" s="2"/>
      <c r="Z99" s="2"/>
      <c r="AA99" s="2"/>
      <c r="AB99" s="2"/>
      <c r="AC99" s="2"/>
      <c r="AD99" s="2"/>
      <c r="AE99" s="2"/>
      <c r="AF99" s="2"/>
    </row>
    <row r="100" spans="1:32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>
        <f ca="1">IFERROR(__xludf.DUMMYFUNCTION("""COMPUTED_VALUE"""),2023)</f>
        <v>2023</v>
      </c>
      <c r="Q100" s="2" t="str">
        <f ca="1">IFERROR(__xludf.DUMMYFUNCTION("""COMPUTED_VALUE"""),"0132")</f>
        <v>0132</v>
      </c>
      <c r="R100" s="2" t="str">
        <f ca="1">IFERROR(__xludf.DUMMYFUNCTION("""COMPUTED_VALUE"""),"06.001.0010.0302.0094.2042.33.72.39")</f>
        <v>06.001.0010.0302.0094.2042.33.72.39</v>
      </c>
      <c r="S100" s="2" t="str">
        <f ca="1">IFERROR(__xludf.DUMMYFUNCTION("""COMPUTED_VALUE"""),"04942")</f>
        <v>04942</v>
      </c>
      <c r="T100" s="2">
        <f ca="1">IFERROR(__xludf.DUMMYFUNCTION("""COMPUTED_VALUE"""),2024)</f>
        <v>2024</v>
      </c>
      <c r="U100" s="2" t="str">
        <f ca="1">IFERROR(__xludf.DUMMYFUNCTION("""COMPUTED_VALUE"""),"0137")</f>
        <v>0137</v>
      </c>
      <c r="V100" s="2" t="str">
        <f ca="1">IFERROR(__xludf.DUMMYFUNCTION("""COMPUTED_VALUE"""),"05.001.0012.0365.0074.6015.33.90.32")</f>
        <v>05.001.0012.0365.0074.6015.33.90.32</v>
      </c>
      <c r="W100" s="2" t="str">
        <f ca="1">IFERROR(__xludf.DUMMYFUNCTION("""COMPUTED_VALUE"""),"103")</f>
        <v>103</v>
      </c>
      <c r="X100" s="2"/>
      <c r="Y100" s="2"/>
      <c r="Z100" s="2"/>
      <c r="AA100" s="2"/>
      <c r="AB100" s="2"/>
      <c r="AC100" s="2"/>
      <c r="AD100" s="2"/>
      <c r="AE100" s="2"/>
      <c r="AF100" s="2"/>
    </row>
    <row r="101" spans="1:32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>
        <f ca="1">IFERROR(__xludf.DUMMYFUNCTION("""COMPUTED_VALUE"""),2023)</f>
        <v>2023</v>
      </c>
      <c r="Q101" s="2" t="str">
        <f ca="1">IFERROR(__xludf.DUMMYFUNCTION("""COMPUTED_VALUE"""),"0133")</f>
        <v>0133</v>
      </c>
      <c r="R101" s="2" t="str">
        <f ca="1">IFERROR(__xludf.DUMMYFUNCTION("""COMPUTED_VALUE"""),"06.001.0010.0302.0094.2045.33.72.39")</f>
        <v>06.001.0010.0302.0094.2045.33.72.39</v>
      </c>
      <c r="S101" s="2" t="str">
        <f ca="1">IFERROR(__xludf.DUMMYFUNCTION("""COMPUTED_VALUE"""),"00303")</f>
        <v>00303</v>
      </c>
      <c r="T101" s="2">
        <f ca="1">IFERROR(__xludf.DUMMYFUNCTION("""COMPUTED_VALUE"""),2024)</f>
        <v>2024</v>
      </c>
      <c r="U101" s="2" t="str">
        <f ca="1">IFERROR(__xludf.DUMMYFUNCTION("""COMPUTED_VALUE"""),"1199")</f>
        <v>1199</v>
      </c>
      <c r="V101" s="2" t="str">
        <f ca="1">IFERROR(__xludf.DUMMYFUNCTION("""COMPUTED_VALUE"""),"05.001.0012.0365.0074.6015.33.90.36")</f>
        <v>05.001.0012.0365.0074.6015.33.90.36</v>
      </c>
      <c r="W101" s="2" t="str">
        <f ca="1">IFERROR(__xludf.DUMMYFUNCTION("""COMPUTED_VALUE"""),"104")</f>
        <v>104</v>
      </c>
      <c r="X101" s="2"/>
      <c r="Y101" s="2"/>
      <c r="Z101" s="2"/>
      <c r="AA101" s="2"/>
      <c r="AB101" s="2"/>
      <c r="AC101" s="2"/>
      <c r="AD101" s="2"/>
      <c r="AE101" s="2"/>
      <c r="AF101" s="2"/>
    </row>
    <row r="102" spans="1:3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>
        <f ca="1">IFERROR(__xludf.DUMMYFUNCTION("""COMPUTED_VALUE"""),2023)</f>
        <v>2023</v>
      </c>
      <c r="Q102" s="2" t="str">
        <f ca="1">IFERROR(__xludf.DUMMYFUNCTION("""COMPUTED_VALUE"""),"0134")</f>
        <v>0134</v>
      </c>
      <c r="R102" s="2" t="str">
        <f ca="1">IFERROR(__xludf.DUMMYFUNCTION("""COMPUTED_VALUE"""),"06.001.0010.0243.0094.6002.33.72.39")</f>
        <v>06.001.0010.0243.0094.6002.33.72.39</v>
      </c>
      <c r="S102" s="2" t="str">
        <f ca="1">IFERROR(__xludf.DUMMYFUNCTION("""COMPUTED_VALUE"""),"00303")</f>
        <v>00303</v>
      </c>
      <c r="T102" s="2">
        <f ca="1">IFERROR(__xludf.DUMMYFUNCTION("""COMPUTED_VALUE"""),2024)</f>
        <v>2024</v>
      </c>
      <c r="U102" s="2" t="str">
        <f ca="1">IFERROR(__xludf.DUMMYFUNCTION("""COMPUTED_VALUE"""),"1198")</f>
        <v>1198</v>
      </c>
      <c r="V102" s="2" t="str">
        <f ca="1">IFERROR(__xludf.DUMMYFUNCTION("""COMPUTED_VALUE"""),"05.001.0012.0365.0074.6015.33.90.36")</f>
        <v>05.001.0012.0365.0074.6015.33.90.36</v>
      </c>
      <c r="W102" s="2" t="str">
        <f ca="1">IFERROR(__xludf.DUMMYFUNCTION("""COMPUTED_VALUE"""),"102")</f>
        <v>102</v>
      </c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>
        <f ca="1">IFERROR(__xludf.DUMMYFUNCTION("""COMPUTED_VALUE"""),2023)</f>
        <v>2023</v>
      </c>
      <c r="Q103" s="2" t="str">
        <f ca="1">IFERROR(__xludf.DUMMYFUNCTION("""COMPUTED_VALUE"""),"0137")</f>
        <v>0137</v>
      </c>
      <c r="R103" s="2" t="str">
        <f ca="1">IFERROR(__xludf.DUMMYFUNCTION("""COMPUTED_VALUE"""),"04.002.0004.0122.0040.2005.33.90.08")</f>
        <v>04.002.0004.0122.0040.2005.33.90.08</v>
      </c>
      <c r="S103" s="2" t="str">
        <f ca="1">IFERROR(__xludf.DUMMYFUNCTION("""COMPUTED_VALUE"""),"0000")</f>
        <v>0000</v>
      </c>
      <c r="T103" s="2">
        <f ca="1">IFERROR(__xludf.DUMMYFUNCTION("""COMPUTED_VALUE"""),2024)</f>
        <v>2024</v>
      </c>
      <c r="U103" s="2" t="str">
        <f ca="1">IFERROR(__xludf.DUMMYFUNCTION("""COMPUTED_VALUE"""),"1200")</f>
        <v>1200</v>
      </c>
      <c r="V103" s="2" t="str">
        <f ca="1">IFERROR(__xludf.DUMMYFUNCTION("""COMPUTED_VALUE"""),"05.001.0012.0365.0074.6015.33.90.37")</f>
        <v>05.001.0012.0365.0074.6015.33.90.37</v>
      </c>
      <c r="W103" s="2" t="str">
        <f ca="1">IFERROR(__xludf.DUMMYFUNCTION("""COMPUTED_VALUE"""),"104")</f>
        <v>104</v>
      </c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>
        <f ca="1">IFERROR(__xludf.DUMMYFUNCTION("""COMPUTED_VALUE"""),2023)</f>
        <v>2023</v>
      </c>
      <c r="Q104" s="2" t="str">
        <f ca="1">IFERROR(__xludf.DUMMYFUNCTION("""COMPUTED_VALUE"""),"0138")</f>
        <v>0138</v>
      </c>
      <c r="R104" s="2" t="str">
        <f ca="1">IFERROR(__xludf.DUMMYFUNCTION("""COMPUTED_VALUE"""),"05.004.0012.0361.0074.6017.33.90.08")</f>
        <v>05.004.0012.0361.0074.6017.33.90.08</v>
      </c>
      <c r="S104" s="2" t="str">
        <f ca="1">IFERROR(__xludf.DUMMYFUNCTION("""COMPUTED_VALUE"""),"00104")</f>
        <v>00104</v>
      </c>
      <c r="T104" s="2">
        <f ca="1">IFERROR(__xludf.DUMMYFUNCTION("""COMPUTED_VALUE"""),2024)</f>
        <v>2024</v>
      </c>
      <c r="U104" s="2" t="str">
        <f ca="1">IFERROR(__xludf.DUMMYFUNCTION("""COMPUTED_VALUE"""),"0134")</f>
        <v>0134</v>
      </c>
      <c r="V104" s="2" t="str">
        <f ca="1">IFERROR(__xludf.DUMMYFUNCTION("""COMPUTED_VALUE"""),"05.001.0012.0365.0074.6015.33.90.37")</f>
        <v>05.001.0012.0365.0074.6015.33.90.37</v>
      </c>
      <c r="W104" s="2" t="str">
        <f ca="1">IFERROR(__xludf.DUMMYFUNCTION("""COMPUTED_VALUE"""),"102")</f>
        <v>102</v>
      </c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>
        <f ca="1">IFERROR(__xludf.DUMMYFUNCTION("""COMPUTED_VALUE"""),2023)</f>
        <v>2023</v>
      </c>
      <c r="Q105" s="2" t="str">
        <f ca="1">IFERROR(__xludf.DUMMYFUNCTION("""COMPUTED_VALUE"""),"0139")</f>
        <v>0139</v>
      </c>
      <c r="R105" s="2" t="str">
        <f ca="1">IFERROR(__xludf.DUMMYFUNCTION("""COMPUTED_VALUE"""),"06.001.0010.0301.0094.2037.33.90.08")</f>
        <v>06.001.0010.0301.0094.2037.33.90.08</v>
      </c>
      <c r="S105" s="2" t="str">
        <f ca="1">IFERROR(__xludf.DUMMYFUNCTION("""COMPUTED_VALUE"""),"00303")</f>
        <v>00303</v>
      </c>
      <c r="T105" s="2">
        <f ca="1">IFERROR(__xludf.DUMMYFUNCTION("""COMPUTED_VALUE"""),2024)</f>
        <v>2024</v>
      </c>
      <c r="U105" s="2" t="str">
        <f ca="1">IFERROR(__xludf.DUMMYFUNCTION("""COMPUTED_VALUE"""),"0138")</f>
        <v>0138</v>
      </c>
      <c r="V105" s="2" t="str">
        <f ca="1">IFERROR(__xludf.DUMMYFUNCTION("""COMPUTED_VALUE"""),"05.001.0012.0365.0074.6015.33.90.37")</f>
        <v>05.001.0012.0365.0074.6015.33.90.37</v>
      </c>
      <c r="W105" s="2" t="str">
        <f ca="1">IFERROR(__xludf.DUMMYFUNCTION("""COMPUTED_VALUE"""),"103")</f>
        <v>103</v>
      </c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>
        <f ca="1">IFERROR(__xludf.DUMMYFUNCTION("""COMPUTED_VALUE"""),2023)</f>
        <v>2023</v>
      </c>
      <c r="Q106" s="2" t="str">
        <f ca="1">IFERROR(__xludf.DUMMYFUNCTION("""COMPUTED_VALUE"""),"0140")</f>
        <v>0140</v>
      </c>
      <c r="R106" s="2" t="str">
        <f ca="1">IFERROR(__xludf.DUMMYFUNCTION("""COMPUTED_VALUE"""),"02.001.0004.0121.0022.2104.33.90.14")</f>
        <v>02.001.0004.0121.0022.2104.33.90.14</v>
      </c>
      <c r="S106" s="2" t="str">
        <f ca="1">IFERROR(__xludf.DUMMYFUNCTION("""COMPUTED_VALUE"""),"0000")</f>
        <v>0000</v>
      </c>
      <c r="T106" s="2">
        <f ca="1">IFERROR(__xludf.DUMMYFUNCTION("""COMPUTED_VALUE"""),2024)</f>
        <v>2024</v>
      </c>
      <c r="U106" s="2" t="str">
        <f ca="1">IFERROR(__xludf.DUMMYFUNCTION("""COMPUTED_VALUE"""),"1201")</f>
        <v>1201</v>
      </c>
      <c r="V106" s="2" t="str">
        <f ca="1">IFERROR(__xludf.DUMMYFUNCTION("""COMPUTED_VALUE"""),"05.001.0012.0365.0074.6015.33.90.39")</f>
        <v>05.001.0012.0365.0074.6015.33.90.39</v>
      </c>
      <c r="W106" s="2" t="str">
        <f ca="1">IFERROR(__xludf.DUMMYFUNCTION("""COMPUTED_VALUE"""),"104")</f>
        <v>104</v>
      </c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2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>
        <f ca="1">IFERROR(__xludf.DUMMYFUNCTION("""COMPUTED_VALUE"""),2023)</f>
        <v>2023</v>
      </c>
      <c r="Q107" s="2" t="str">
        <f ca="1">IFERROR(__xludf.DUMMYFUNCTION("""COMPUTED_VALUE"""),"0141")</f>
        <v>0141</v>
      </c>
      <c r="R107" s="2" t="str">
        <f ca="1">IFERROR(__xludf.DUMMYFUNCTION("""COMPUTED_VALUE"""),"04.001.0004.0122.0040.2001.33.90.14")</f>
        <v>04.001.0004.0122.0040.2001.33.90.14</v>
      </c>
      <c r="S107" s="2" t="str">
        <f ca="1">IFERROR(__xludf.DUMMYFUNCTION("""COMPUTED_VALUE"""),"0000")</f>
        <v>0000</v>
      </c>
      <c r="T107" s="2">
        <f ca="1">IFERROR(__xludf.DUMMYFUNCTION("""COMPUTED_VALUE"""),2024)</f>
        <v>2024</v>
      </c>
      <c r="U107" s="2" t="str">
        <f ca="1">IFERROR(__xludf.DUMMYFUNCTION("""COMPUTED_VALUE"""),"0135")</f>
        <v>0135</v>
      </c>
      <c r="V107" s="2" t="str">
        <f ca="1">IFERROR(__xludf.DUMMYFUNCTION("""COMPUTED_VALUE"""),"05.001.0012.0365.0074.6015.33.90.39")</f>
        <v>05.001.0012.0365.0074.6015.33.90.39</v>
      </c>
      <c r="W107" s="2" t="str">
        <f ca="1">IFERROR(__xludf.DUMMYFUNCTION("""COMPUTED_VALUE"""),"102")</f>
        <v>102</v>
      </c>
      <c r="X107" s="2"/>
      <c r="Y107" s="2"/>
      <c r="Z107" s="2"/>
      <c r="AA107" s="2"/>
      <c r="AB107" s="2"/>
      <c r="AC107" s="2"/>
      <c r="AD107" s="2"/>
      <c r="AE107" s="2"/>
      <c r="AF107" s="2"/>
    </row>
    <row r="108" spans="1:32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>
        <f ca="1">IFERROR(__xludf.DUMMYFUNCTION("""COMPUTED_VALUE"""),2023)</f>
        <v>2023</v>
      </c>
      <c r="Q108" s="2" t="str">
        <f ca="1">IFERROR(__xludf.DUMMYFUNCTION("""COMPUTED_VALUE"""),"0142")</f>
        <v>0142</v>
      </c>
      <c r="R108" s="2" t="str">
        <f ca="1">IFERROR(__xludf.DUMMYFUNCTION("""COMPUTED_VALUE"""),"04.001.0004.0122.0040.2003.33.90.14")</f>
        <v>04.001.0004.0122.0040.2003.33.90.14</v>
      </c>
      <c r="S108" s="2" t="str">
        <f ca="1">IFERROR(__xludf.DUMMYFUNCTION("""COMPUTED_VALUE"""),"0000")</f>
        <v>0000</v>
      </c>
      <c r="T108" s="2">
        <f ca="1">IFERROR(__xludf.DUMMYFUNCTION("""COMPUTED_VALUE"""),2024)</f>
        <v>2024</v>
      </c>
      <c r="U108" s="2" t="str">
        <f ca="1">IFERROR(__xludf.DUMMYFUNCTION("""COMPUTED_VALUE"""),"0139")</f>
        <v>0139</v>
      </c>
      <c r="V108" s="2" t="str">
        <f ca="1">IFERROR(__xludf.DUMMYFUNCTION("""COMPUTED_VALUE"""),"05.001.0012.0365.0074.6015.33.90.39")</f>
        <v>05.001.0012.0365.0074.6015.33.90.39</v>
      </c>
      <c r="W108" s="2" t="str">
        <f ca="1">IFERROR(__xludf.DUMMYFUNCTION("""COMPUTED_VALUE"""),"103")</f>
        <v>103</v>
      </c>
      <c r="X108" s="2"/>
      <c r="Y108" s="2"/>
      <c r="Z108" s="2"/>
      <c r="AA108" s="2"/>
      <c r="AB108" s="2"/>
      <c r="AC108" s="2"/>
      <c r="AD108" s="2"/>
      <c r="AE108" s="2"/>
      <c r="AF108" s="2"/>
    </row>
    <row r="109" spans="1:32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>
        <f ca="1">IFERROR(__xludf.DUMMYFUNCTION("""COMPUTED_VALUE"""),2023)</f>
        <v>2023</v>
      </c>
      <c r="Q109" s="2" t="str">
        <f ca="1">IFERROR(__xludf.DUMMYFUNCTION("""COMPUTED_VALUE"""),"0143")</f>
        <v>0143</v>
      </c>
      <c r="R109" s="2" t="str">
        <f ca="1">IFERROR(__xludf.DUMMYFUNCTION("""COMPUTED_VALUE"""),"13.001.0004.0124.0051.2049.33.90.14")</f>
        <v>13.001.0004.0124.0051.2049.33.90.14</v>
      </c>
      <c r="S109" s="2" t="str">
        <f ca="1">IFERROR(__xludf.DUMMYFUNCTION("""COMPUTED_VALUE"""),"0000")</f>
        <v>0000</v>
      </c>
      <c r="T109" s="2">
        <f ca="1">IFERROR(__xludf.DUMMYFUNCTION("""COMPUTED_VALUE"""),2024)</f>
        <v>2024</v>
      </c>
      <c r="U109" s="2" t="str">
        <f ca="1">IFERROR(__xludf.DUMMYFUNCTION("""COMPUTED_VALUE"""),"1202")</f>
        <v>1202</v>
      </c>
      <c r="V109" s="2" t="str">
        <f ca="1">IFERROR(__xludf.DUMMYFUNCTION("""COMPUTED_VALUE"""),"05.001.0012.0365.0074.6015.33.90.40")</f>
        <v>05.001.0012.0365.0074.6015.33.90.40</v>
      </c>
      <c r="W109" s="2" t="str">
        <f ca="1">IFERROR(__xludf.DUMMYFUNCTION("""COMPUTED_VALUE"""),"104")</f>
        <v>104</v>
      </c>
      <c r="X109" s="2"/>
      <c r="Y109" s="2"/>
      <c r="Z109" s="2"/>
      <c r="AA109" s="2"/>
      <c r="AB109" s="2"/>
      <c r="AC109" s="2"/>
      <c r="AD109" s="2"/>
      <c r="AE109" s="2"/>
      <c r="AF109" s="2"/>
    </row>
    <row r="110" spans="1:32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>
        <f ca="1">IFERROR(__xludf.DUMMYFUNCTION("""COMPUTED_VALUE"""),2023)</f>
        <v>2023</v>
      </c>
      <c r="Q110" s="2" t="str">
        <f ca="1">IFERROR(__xludf.DUMMYFUNCTION("""COMPUTED_VALUE"""),"0144")</f>
        <v>0144</v>
      </c>
      <c r="R110" s="2" t="str">
        <f ca="1">IFERROR(__xludf.DUMMYFUNCTION("""COMPUTED_VALUE"""),"05.001.0012.0361.0074.6018.33.90.14")</f>
        <v>05.001.0012.0361.0074.6018.33.90.14</v>
      </c>
      <c r="S110" s="2" t="str">
        <f ca="1">IFERROR(__xludf.DUMMYFUNCTION("""COMPUTED_VALUE"""),"0000")</f>
        <v>0000</v>
      </c>
      <c r="T110" s="2">
        <f ca="1">IFERROR(__xludf.DUMMYFUNCTION("""COMPUTED_VALUE"""),2024)</f>
        <v>2024</v>
      </c>
      <c r="U110" s="2" t="str">
        <f ca="1">IFERROR(__xludf.DUMMYFUNCTION("""COMPUTED_VALUE"""),"1203")</f>
        <v>1203</v>
      </c>
      <c r="V110" s="2" t="str">
        <f ca="1">IFERROR(__xludf.DUMMYFUNCTION("""COMPUTED_VALUE"""),"05.001.0012.0366.0074.2056.33.90.32")</f>
        <v>05.001.0012.0366.0074.2056.33.90.32</v>
      </c>
      <c r="W110" s="2" t="str">
        <f ca="1">IFERROR(__xludf.DUMMYFUNCTION("""COMPUTED_VALUE"""),"104")</f>
        <v>104</v>
      </c>
      <c r="X110" s="2"/>
      <c r="Y110" s="2"/>
      <c r="Z110" s="2"/>
      <c r="AA110" s="2"/>
      <c r="AB110" s="2"/>
      <c r="AC110" s="2"/>
      <c r="AD110" s="2"/>
      <c r="AE110" s="2"/>
      <c r="AF110" s="2"/>
    </row>
    <row r="111" spans="1:32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>
        <f ca="1">IFERROR(__xludf.DUMMYFUNCTION("""COMPUTED_VALUE"""),2023)</f>
        <v>2023</v>
      </c>
      <c r="Q111" s="2" t="str">
        <f ca="1">IFERROR(__xludf.DUMMYFUNCTION("""COMPUTED_VALUE"""),"0145")</f>
        <v>0145</v>
      </c>
      <c r="R111" s="2" t="str">
        <f ca="1">IFERROR(__xludf.DUMMYFUNCTION("""COMPUTED_VALUE"""),"11.002.0013.0392.0082.2009.33.90.14")</f>
        <v>11.002.0013.0392.0082.2009.33.90.14</v>
      </c>
      <c r="S111" s="2" t="str">
        <f ca="1">IFERROR(__xludf.DUMMYFUNCTION("""COMPUTED_VALUE"""),"0000")</f>
        <v>0000</v>
      </c>
      <c r="T111" s="2">
        <f ca="1">IFERROR(__xludf.DUMMYFUNCTION("""COMPUTED_VALUE"""),2024)</f>
        <v>2024</v>
      </c>
      <c r="U111" s="2" t="str">
        <f ca="1">IFERROR(__xludf.DUMMYFUNCTION("""COMPUTED_VALUE"""),"0141")</f>
        <v>0141</v>
      </c>
      <c r="V111" s="2" t="str">
        <f ca="1">IFERROR(__xludf.DUMMYFUNCTION("""COMPUTED_VALUE"""),"05.001.0012.0366.0074.2057.33.90.30")</f>
        <v>05.001.0012.0366.0074.2057.33.90.30</v>
      </c>
      <c r="W111" s="2" t="str">
        <f ca="1">IFERROR(__xludf.DUMMYFUNCTION("""COMPUTED_VALUE"""),"1042")</f>
        <v>1042</v>
      </c>
      <c r="X111" s="2"/>
      <c r="Y111" s="2"/>
      <c r="Z111" s="2"/>
      <c r="AA111" s="2"/>
      <c r="AB111" s="2"/>
      <c r="AC111" s="2"/>
      <c r="AD111" s="2"/>
      <c r="AE111" s="2"/>
      <c r="AF111" s="2"/>
    </row>
    <row r="112" spans="1:3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>
        <f ca="1">IFERROR(__xludf.DUMMYFUNCTION("""COMPUTED_VALUE"""),2023)</f>
        <v>2023</v>
      </c>
      <c r="Q112" s="2" t="str">
        <f ca="1">IFERROR(__xludf.DUMMYFUNCTION("""COMPUTED_VALUE"""),"0146")</f>
        <v>0146</v>
      </c>
      <c r="R112" s="2" t="str">
        <f ca="1">IFERROR(__xludf.DUMMYFUNCTION("""COMPUTED_VALUE"""),"11.003.0027.0811.0083.2013.33.90.14")</f>
        <v>11.003.0027.0811.0083.2013.33.90.14</v>
      </c>
      <c r="S112" s="2" t="str">
        <f ca="1">IFERROR(__xludf.DUMMYFUNCTION("""COMPUTED_VALUE"""),"0000")</f>
        <v>0000</v>
      </c>
      <c r="T112" s="2">
        <f ca="1">IFERROR(__xludf.DUMMYFUNCTION("""COMPUTED_VALUE"""),2024)</f>
        <v>2024</v>
      </c>
      <c r="U112" s="2" t="str">
        <f ca="1">IFERROR(__xludf.DUMMYFUNCTION("""COMPUTED_VALUE"""),"0142")</f>
        <v>0142</v>
      </c>
      <c r="V112" s="2" t="str">
        <f ca="1">IFERROR(__xludf.DUMMYFUNCTION("""COMPUTED_VALUE"""),"05.001.0012.0366.0074.2057.33.90.32")</f>
        <v>05.001.0012.0366.0074.2057.33.90.32</v>
      </c>
      <c r="W112" s="2" t="str">
        <f ca="1">IFERROR(__xludf.DUMMYFUNCTION("""COMPUTED_VALUE"""),"104")</f>
        <v>104</v>
      </c>
      <c r="X112" s="2"/>
      <c r="Y112" s="2"/>
      <c r="Z112" s="2"/>
      <c r="AA112" s="2"/>
      <c r="AB112" s="2"/>
      <c r="AC112" s="2"/>
      <c r="AD112" s="2"/>
      <c r="AE112" s="2"/>
      <c r="AF112" s="2"/>
    </row>
    <row r="113" spans="1:32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>
        <f ca="1">IFERROR(__xludf.DUMMYFUNCTION("""COMPUTED_VALUE"""),2023)</f>
        <v>2023</v>
      </c>
      <c r="Q113" s="2" t="str">
        <f ca="1">IFERROR(__xludf.DUMMYFUNCTION("""COMPUTED_VALUE"""),"0147")</f>
        <v>0147</v>
      </c>
      <c r="R113" s="2" t="str">
        <f ca="1">IFERROR(__xludf.DUMMYFUNCTION("""COMPUTED_VALUE"""),"06.001.0010.0301.0094.2037.33.90.14")</f>
        <v>06.001.0010.0301.0094.2037.33.90.14</v>
      </c>
      <c r="S113" s="2" t="str">
        <f ca="1">IFERROR(__xludf.DUMMYFUNCTION("""COMPUTED_VALUE"""),"00303")</f>
        <v>00303</v>
      </c>
      <c r="T113" s="2">
        <f ca="1">IFERROR(__xludf.DUMMYFUNCTION("""COMPUTED_VALUE"""),2024)</f>
        <v>2024</v>
      </c>
      <c r="U113" s="2" t="str">
        <f ca="1">IFERROR(__xludf.DUMMYFUNCTION("""COMPUTED_VALUE"""),"0143")</f>
        <v>0143</v>
      </c>
      <c r="V113" s="2" t="str">
        <f ca="1">IFERROR(__xludf.DUMMYFUNCTION("""COMPUTED_VALUE"""),"05.001.0012.0367.0074.5007.31.50.43")</f>
        <v>05.001.0012.0367.0074.5007.31.50.43</v>
      </c>
      <c r="W113" s="2" t="str">
        <f ca="1">IFERROR(__xludf.DUMMYFUNCTION("""COMPUTED_VALUE"""),"104")</f>
        <v>104</v>
      </c>
      <c r="X113" s="2"/>
      <c r="Y113" s="2"/>
      <c r="Z113" s="2"/>
      <c r="AA113" s="2"/>
      <c r="AB113" s="2"/>
      <c r="AC113" s="2"/>
      <c r="AD113" s="2"/>
      <c r="AE113" s="2"/>
      <c r="AF113" s="2"/>
    </row>
    <row r="114" spans="1:32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>
        <f ca="1">IFERROR(__xludf.DUMMYFUNCTION("""COMPUTED_VALUE"""),2023)</f>
        <v>2023</v>
      </c>
      <c r="Q114" s="2" t="str">
        <f ca="1">IFERROR(__xludf.DUMMYFUNCTION("""COMPUTED_VALUE"""),"0148")</f>
        <v>0148</v>
      </c>
      <c r="R114" s="2" t="str">
        <f ca="1">IFERROR(__xludf.DUMMYFUNCTION("""COMPUTED_VALUE"""),"06.001.0010.0301.0094.2038.33.90.14")</f>
        <v>06.001.0010.0301.0094.2038.33.90.14</v>
      </c>
      <c r="S114" s="2" t="str">
        <f ca="1">IFERROR(__xludf.DUMMYFUNCTION("""COMPUTED_VALUE"""),"00303")</f>
        <v>00303</v>
      </c>
      <c r="T114" s="2">
        <f ca="1">IFERROR(__xludf.DUMMYFUNCTION("""COMPUTED_VALUE"""),2024)</f>
        <v>2024</v>
      </c>
      <c r="U114" s="2" t="str">
        <f ca="1">IFERROR(__xludf.DUMMYFUNCTION("""COMPUTED_VALUE"""),"0144")</f>
        <v>0144</v>
      </c>
      <c r="V114" s="2" t="str">
        <f ca="1">IFERROR(__xludf.DUMMYFUNCTION("""COMPUTED_VALUE"""),"05.001.0012.0367.0074.5007.33.50.43")</f>
        <v>05.001.0012.0367.0074.5007.33.50.43</v>
      </c>
      <c r="W114" s="2" t="str">
        <f ca="1">IFERROR(__xludf.DUMMYFUNCTION("""COMPUTED_VALUE"""),"102")</f>
        <v>102</v>
      </c>
      <c r="X114" s="2"/>
      <c r="Y114" s="2"/>
      <c r="Z114" s="2"/>
      <c r="AA114" s="2"/>
      <c r="AB114" s="2"/>
      <c r="AC114" s="2"/>
      <c r="AD114" s="2"/>
      <c r="AE114" s="2"/>
      <c r="AF114" s="2"/>
    </row>
    <row r="115" spans="1:32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>
        <f ca="1">IFERROR(__xludf.DUMMYFUNCTION("""COMPUTED_VALUE"""),2023)</f>
        <v>2023</v>
      </c>
      <c r="Q115" s="2" t="str">
        <f ca="1">IFERROR(__xludf.DUMMYFUNCTION("""COMPUTED_VALUE"""),"0149")</f>
        <v>0149</v>
      </c>
      <c r="R115" s="2" t="str">
        <f ca="1">IFERROR(__xludf.DUMMYFUNCTION("""COMPUTED_VALUE"""),"06.001.0010.0301.0094.2039.33.90.14")</f>
        <v>06.001.0010.0301.0094.2039.33.90.14</v>
      </c>
      <c r="S115" s="2" t="str">
        <f ca="1">IFERROR(__xludf.DUMMYFUNCTION("""COMPUTED_VALUE"""),"04942")</f>
        <v>04942</v>
      </c>
      <c r="T115" s="2">
        <f ca="1">IFERROR(__xludf.DUMMYFUNCTION("""COMPUTED_VALUE"""),2024)</f>
        <v>2024</v>
      </c>
      <c r="U115" s="2" t="str">
        <f ca="1">IFERROR(__xludf.DUMMYFUNCTION("""COMPUTED_VALUE"""),"0145")</f>
        <v>0145</v>
      </c>
      <c r="V115" s="2" t="str">
        <f ca="1">IFERROR(__xludf.DUMMYFUNCTION("""COMPUTED_VALUE"""),"05.001.0012.0367.0074.5007.44.50.42")</f>
        <v>05.001.0012.0367.0074.5007.44.50.42</v>
      </c>
      <c r="W115" s="2" t="str">
        <f ca="1">IFERROR(__xludf.DUMMYFUNCTION("""COMPUTED_VALUE"""),"102")</f>
        <v>102</v>
      </c>
      <c r="X115" s="2"/>
      <c r="Y115" s="2"/>
      <c r="Z115" s="2"/>
      <c r="AA115" s="2"/>
      <c r="AB115" s="2"/>
      <c r="AC115" s="2"/>
      <c r="AD115" s="2"/>
      <c r="AE115" s="2"/>
      <c r="AF115" s="2"/>
    </row>
    <row r="116" spans="1:32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>
        <f ca="1">IFERROR(__xludf.DUMMYFUNCTION("""COMPUTED_VALUE"""),2023)</f>
        <v>2023</v>
      </c>
      <c r="Q116" s="2" t="str">
        <f ca="1">IFERROR(__xludf.DUMMYFUNCTION("""COMPUTED_VALUE"""),"0150")</f>
        <v>0150</v>
      </c>
      <c r="R116" s="2" t="str">
        <f ca="1">IFERROR(__xludf.DUMMYFUNCTION("""COMPUTED_VALUE"""),"06.001.0010.0305.0094.2040.33.90.14")</f>
        <v>06.001.0010.0305.0094.2040.33.90.14</v>
      </c>
      <c r="S116" s="2" t="str">
        <f ca="1">IFERROR(__xludf.DUMMYFUNCTION("""COMPUTED_VALUE"""),"04942")</f>
        <v>04942</v>
      </c>
      <c r="T116" s="2">
        <f ca="1">IFERROR(__xludf.DUMMYFUNCTION("""COMPUTED_VALUE"""),2024)</f>
        <v>2024</v>
      </c>
      <c r="U116" s="2" t="str">
        <f ca="1">IFERROR(__xludf.DUMMYFUNCTION("""COMPUTED_VALUE"""),"0146")</f>
        <v>0146</v>
      </c>
      <c r="V116" s="2" t="str">
        <f ca="1">IFERROR(__xludf.DUMMYFUNCTION("""COMPUTED_VALUE"""),"05.001.0012.0367.0074.6010.33.90.30")</f>
        <v>05.001.0012.0367.0074.6010.33.90.30</v>
      </c>
      <c r="W116" s="2" t="str">
        <f ca="1">IFERROR(__xludf.DUMMYFUNCTION("""COMPUTED_VALUE"""),"102")</f>
        <v>102</v>
      </c>
      <c r="X116" s="2"/>
      <c r="Y116" s="2"/>
      <c r="Z116" s="2"/>
      <c r="AA116" s="2"/>
      <c r="AB116" s="2"/>
      <c r="AC116" s="2"/>
      <c r="AD116" s="2"/>
      <c r="AE116" s="2"/>
      <c r="AF116" s="2"/>
    </row>
    <row r="117" spans="1:32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>
        <f ca="1">IFERROR(__xludf.DUMMYFUNCTION("""COMPUTED_VALUE"""),2023)</f>
        <v>2023</v>
      </c>
      <c r="Q117" s="2" t="str">
        <f ca="1">IFERROR(__xludf.DUMMYFUNCTION("""COMPUTED_VALUE"""),"0151")</f>
        <v>0151</v>
      </c>
      <c r="R117" s="2" t="str">
        <f ca="1">IFERROR(__xludf.DUMMYFUNCTION("""COMPUTED_VALUE"""),"06.001.0010.0302.0094.2041.33.90.14")</f>
        <v>06.001.0010.0302.0094.2041.33.90.14</v>
      </c>
      <c r="S117" s="2" t="str">
        <f ca="1">IFERROR(__xludf.DUMMYFUNCTION("""COMPUTED_VALUE"""),"00303")</f>
        <v>00303</v>
      </c>
      <c r="T117" s="2">
        <f ca="1">IFERROR(__xludf.DUMMYFUNCTION("""COMPUTED_VALUE"""),2024)</f>
        <v>2024</v>
      </c>
      <c r="U117" s="2" t="str">
        <f ca="1">IFERROR(__xludf.DUMMYFUNCTION("""COMPUTED_VALUE"""),"0147")</f>
        <v>0147</v>
      </c>
      <c r="V117" s="2" t="str">
        <f ca="1">IFERROR(__xludf.DUMMYFUNCTION("""COMPUTED_VALUE"""),"05.001.0012.0367.0074.6010.33.90.32")</f>
        <v>05.001.0012.0367.0074.6010.33.90.32</v>
      </c>
      <c r="W117" s="2" t="str">
        <f ca="1">IFERROR(__xludf.DUMMYFUNCTION("""COMPUTED_VALUE"""),"104")</f>
        <v>104</v>
      </c>
      <c r="X117" s="2"/>
      <c r="Y117" s="2"/>
      <c r="Z117" s="2"/>
      <c r="AA117" s="2"/>
      <c r="AB117" s="2"/>
      <c r="AC117" s="2"/>
      <c r="AD117" s="2"/>
      <c r="AE117" s="2"/>
      <c r="AF117" s="2"/>
    </row>
    <row r="118" spans="1:32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>
        <f ca="1">IFERROR(__xludf.DUMMYFUNCTION("""COMPUTED_VALUE"""),2023)</f>
        <v>2023</v>
      </c>
      <c r="Q118" s="2" t="str">
        <f ca="1">IFERROR(__xludf.DUMMYFUNCTION("""COMPUTED_VALUE"""),"0152")</f>
        <v>0152</v>
      </c>
      <c r="R118" s="2" t="str">
        <f ca="1">IFERROR(__xludf.DUMMYFUNCTION("""COMPUTED_VALUE"""),"06.001.0010.0302.0094.2043.33.90.14")</f>
        <v>06.001.0010.0302.0094.2043.33.90.14</v>
      </c>
      <c r="S118" s="2" t="str">
        <f ca="1">IFERROR(__xludf.DUMMYFUNCTION("""COMPUTED_VALUE"""),"04942")</f>
        <v>04942</v>
      </c>
      <c r="T118" s="2">
        <f ca="1">IFERROR(__xludf.DUMMYFUNCTION("""COMPUTED_VALUE"""),2024)</f>
        <v>2024</v>
      </c>
      <c r="U118" s="2" t="str">
        <f ca="1">IFERROR(__xludf.DUMMYFUNCTION("""COMPUTED_VALUE"""),"0148")</f>
        <v>0148</v>
      </c>
      <c r="V118" s="2" t="str">
        <f ca="1">IFERROR(__xludf.DUMMYFUNCTION("""COMPUTED_VALUE"""),"05.001.0012.0367.0074.6014.33.90.32")</f>
        <v>05.001.0012.0367.0074.6014.33.90.32</v>
      </c>
      <c r="W118" s="2" t="str">
        <f ca="1">IFERROR(__xludf.DUMMYFUNCTION("""COMPUTED_VALUE"""),"104")</f>
        <v>104</v>
      </c>
      <c r="X118" s="2"/>
      <c r="Y118" s="2"/>
      <c r="Z118" s="2"/>
      <c r="AA118" s="2"/>
      <c r="AB118" s="2"/>
      <c r="AC118" s="2"/>
      <c r="AD118" s="2"/>
      <c r="AE118" s="2"/>
      <c r="AF118" s="2"/>
    </row>
    <row r="119" spans="1:32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>
        <f ca="1">IFERROR(__xludf.DUMMYFUNCTION("""COMPUTED_VALUE"""),2023)</f>
        <v>2023</v>
      </c>
      <c r="Q119" s="2" t="str">
        <f ca="1">IFERROR(__xludf.DUMMYFUNCTION("""COMPUTED_VALUE"""),"0153")</f>
        <v>0153</v>
      </c>
      <c r="R119" s="2" t="str">
        <f ca="1">IFERROR(__xludf.DUMMYFUNCTION("""COMPUTED_VALUE"""),"06.001.0010.0304.0094.2046.33.90.14")</f>
        <v>06.001.0010.0304.0094.2046.33.90.14</v>
      </c>
      <c r="S119" s="2" t="str">
        <f ca="1">IFERROR(__xludf.DUMMYFUNCTION("""COMPUTED_VALUE"""),"04942")</f>
        <v>04942</v>
      </c>
      <c r="T119" s="2">
        <f ca="1">IFERROR(__xludf.DUMMYFUNCTION("""COMPUTED_VALUE"""),2024)</f>
        <v>2024</v>
      </c>
      <c r="U119" s="2" t="str">
        <f ca="1">IFERROR(__xludf.DUMMYFUNCTION("""COMPUTED_VALUE"""),"0149")</f>
        <v>0149</v>
      </c>
      <c r="V119" s="2" t="str">
        <f ca="1">IFERROR(__xludf.DUMMYFUNCTION("""COMPUTED_VALUE"""),"05.003.0012.0361.0074.5003.44.90.52")</f>
        <v>05.003.0012.0361.0074.5003.44.90.52</v>
      </c>
      <c r="W119" s="2" t="str">
        <f ca="1">IFERROR(__xludf.DUMMYFUNCTION("""COMPUTED_VALUE"""),"1042")</f>
        <v>1042</v>
      </c>
      <c r="X119" s="2"/>
      <c r="Y119" s="2"/>
      <c r="Z119" s="2"/>
      <c r="AA119" s="2"/>
      <c r="AB119" s="2"/>
      <c r="AC119" s="2"/>
      <c r="AD119" s="2"/>
      <c r="AE119" s="2"/>
      <c r="AF119" s="2"/>
    </row>
    <row r="120" spans="1:32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>
        <f ca="1">IFERROR(__xludf.DUMMYFUNCTION("""COMPUTED_VALUE"""),2023)</f>
        <v>2023</v>
      </c>
      <c r="Q120" s="2" t="str">
        <f ca="1">IFERROR(__xludf.DUMMYFUNCTION("""COMPUTED_VALUE"""),"0154")</f>
        <v>0154</v>
      </c>
      <c r="R120" s="2" t="str">
        <f ca="1">IFERROR(__xludf.DUMMYFUNCTION("""COMPUTED_VALUE"""),"12.001.0004.0122.0113.2129.33.90.14")</f>
        <v>12.001.0004.0122.0113.2129.33.90.14</v>
      </c>
      <c r="S120" s="2" t="str">
        <f ca="1">IFERROR(__xludf.DUMMYFUNCTION("""COMPUTED_VALUE"""),"0000")</f>
        <v>0000</v>
      </c>
      <c r="T120" s="2">
        <f ca="1">IFERROR(__xludf.DUMMYFUNCTION("""COMPUTED_VALUE"""),2024)</f>
        <v>2024</v>
      </c>
      <c r="U120" s="2" t="str">
        <f ca="1">IFERROR(__xludf.DUMMYFUNCTION("""COMPUTED_VALUE"""),"0151")</f>
        <v>0151</v>
      </c>
      <c r="V120" s="2" t="str">
        <f ca="1">IFERROR(__xludf.DUMMYFUNCTION("""COMPUTED_VALUE"""),"05.003.0012.0361.0074.5003.44.90.52")</f>
        <v>05.003.0012.0361.0074.5003.44.90.52</v>
      </c>
      <c r="W120" s="2" t="str">
        <f ca="1">IFERROR(__xludf.DUMMYFUNCTION("""COMPUTED_VALUE"""),"102")</f>
        <v>102</v>
      </c>
      <c r="X120" s="2"/>
      <c r="Y120" s="2"/>
      <c r="Z120" s="2"/>
      <c r="AA120" s="2"/>
      <c r="AB120" s="2"/>
      <c r="AC120" s="2"/>
      <c r="AD120" s="2"/>
      <c r="AE120" s="2"/>
      <c r="AF120" s="2"/>
    </row>
    <row r="121" spans="1:32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>
        <f ca="1">IFERROR(__xludf.DUMMYFUNCTION("""COMPUTED_VALUE"""),2023)</f>
        <v>2023</v>
      </c>
      <c r="Q121" s="2" t="str">
        <f ca="1">IFERROR(__xludf.DUMMYFUNCTION("""COMPUTED_VALUE"""),"0155")</f>
        <v>0155</v>
      </c>
      <c r="R121" s="2" t="str">
        <f ca="1">IFERROR(__xludf.DUMMYFUNCTION("""COMPUTED_VALUE"""),"08.001.0008.0244.0118.2029.33.90.14")</f>
        <v>08.001.0008.0244.0118.2029.33.90.14</v>
      </c>
      <c r="S121" s="2" t="str">
        <f ca="1">IFERROR(__xludf.DUMMYFUNCTION("""COMPUTED_VALUE"""),"0000")</f>
        <v>0000</v>
      </c>
      <c r="T121" s="2">
        <f ca="1">IFERROR(__xludf.DUMMYFUNCTION("""COMPUTED_VALUE"""),2024)</f>
        <v>2024</v>
      </c>
      <c r="U121" s="2" t="str">
        <f ca="1">IFERROR(__xludf.DUMMYFUNCTION("""COMPUTED_VALUE"""),"0152")</f>
        <v>0152</v>
      </c>
      <c r="V121" s="2" t="str">
        <f ca="1">IFERROR(__xludf.DUMMYFUNCTION("""COMPUTED_VALUE"""),"05.003.0012.0361.0074.5004.44.90.51")</f>
        <v>05.003.0012.0361.0074.5004.44.90.51</v>
      </c>
      <c r="W121" s="2" t="str">
        <f ca="1">IFERROR(__xludf.DUMMYFUNCTION("""COMPUTED_VALUE"""),"104")</f>
        <v>104</v>
      </c>
      <c r="X121" s="2"/>
      <c r="Y121" s="2"/>
      <c r="Z121" s="2"/>
      <c r="AA121" s="2"/>
      <c r="AB121" s="2"/>
      <c r="AC121" s="2"/>
      <c r="AD121" s="2"/>
      <c r="AE121" s="2"/>
      <c r="AF121" s="2"/>
    </row>
    <row r="122" spans="1:3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>
        <f ca="1">IFERROR(__xludf.DUMMYFUNCTION("""COMPUTED_VALUE"""),2023)</f>
        <v>2023</v>
      </c>
      <c r="Q122" s="2" t="str">
        <f ca="1">IFERROR(__xludf.DUMMYFUNCTION("""COMPUTED_VALUE"""),"0156")</f>
        <v>0156</v>
      </c>
      <c r="R122" s="2" t="str">
        <f ca="1">IFERROR(__xludf.DUMMYFUNCTION("""COMPUTED_VALUE"""),"08.003.0008.0244.0118.2030.33.90.14")</f>
        <v>08.003.0008.0244.0118.2030.33.90.14</v>
      </c>
      <c r="S122" s="2" t="str">
        <f ca="1">IFERROR(__xludf.DUMMYFUNCTION("""COMPUTED_VALUE"""),"0000")</f>
        <v>0000</v>
      </c>
      <c r="T122" s="2">
        <f ca="1">IFERROR(__xludf.DUMMYFUNCTION("""COMPUTED_VALUE"""),2024)</f>
        <v>2024</v>
      </c>
      <c r="U122" s="2" t="str">
        <f ca="1">IFERROR(__xludf.DUMMYFUNCTION("""COMPUTED_VALUE"""),"0158")</f>
        <v>0158</v>
      </c>
      <c r="V122" s="2" t="str">
        <f ca="1">IFERROR(__xludf.DUMMYFUNCTION("""COMPUTED_VALUE"""),"05.003.0012.0361.0074.5004.44.90.51")</f>
        <v>05.003.0012.0361.0074.5004.44.90.51</v>
      </c>
      <c r="W122" s="2" t="str">
        <f ca="1">IFERROR(__xludf.DUMMYFUNCTION("""COMPUTED_VALUE"""),"102")</f>
        <v>102</v>
      </c>
      <c r="X122" s="2"/>
      <c r="Y122" s="2"/>
      <c r="Z122" s="2"/>
      <c r="AA122" s="2"/>
      <c r="AB122" s="2"/>
      <c r="AC122" s="2"/>
      <c r="AD122" s="2"/>
      <c r="AE122" s="2"/>
      <c r="AF122" s="2"/>
    </row>
    <row r="123" spans="1:32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>
        <f ca="1">IFERROR(__xludf.DUMMYFUNCTION("""COMPUTED_VALUE"""),2023)</f>
        <v>2023</v>
      </c>
      <c r="Q123" s="2" t="str">
        <f ca="1">IFERROR(__xludf.DUMMYFUNCTION("""COMPUTED_VALUE"""),"0157")</f>
        <v>0157</v>
      </c>
      <c r="R123" s="2" t="str">
        <f ca="1">IFERROR(__xludf.DUMMYFUNCTION("""COMPUTED_VALUE"""),"08.003.0008.0244.0118.2030.33.90.14")</f>
        <v>08.003.0008.0244.0118.2030.33.90.14</v>
      </c>
      <c r="S123" s="2" t="str">
        <f ca="1">IFERROR(__xludf.DUMMYFUNCTION("""COMPUTED_VALUE"""),"00936")</f>
        <v>00936</v>
      </c>
      <c r="T123" s="2">
        <f ca="1">IFERROR(__xludf.DUMMYFUNCTION("""COMPUTED_VALUE"""),2024)</f>
        <v>2024</v>
      </c>
      <c r="U123" s="2" t="str">
        <f ca="1">IFERROR(__xludf.DUMMYFUNCTION("""COMPUTED_VALUE"""),"0160")</f>
        <v>0160</v>
      </c>
      <c r="V123" s="2" t="str">
        <f ca="1">IFERROR(__xludf.DUMMYFUNCTION("""COMPUTED_VALUE"""),"05.003.0012.0361.0074.5004.44.90.61")</f>
        <v>05.003.0012.0361.0074.5004.44.90.61</v>
      </c>
      <c r="W123" s="2" t="str">
        <f ca="1">IFERROR(__xludf.DUMMYFUNCTION("""COMPUTED_VALUE"""),"104")</f>
        <v>104</v>
      </c>
      <c r="X123" s="2"/>
      <c r="Y123" s="2"/>
      <c r="Z123" s="2"/>
      <c r="AA123" s="2"/>
      <c r="AB123" s="2"/>
      <c r="AC123" s="2"/>
      <c r="AD123" s="2"/>
      <c r="AE123" s="2"/>
      <c r="AF123" s="2"/>
    </row>
    <row r="124" spans="1:32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>
        <f ca="1">IFERROR(__xludf.DUMMYFUNCTION("""COMPUTED_VALUE"""),2023)</f>
        <v>2023</v>
      </c>
      <c r="Q124" s="2" t="str">
        <f ca="1">IFERROR(__xludf.DUMMYFUNCTION("""COMPUTED_VALUE"""),"0158")</f>
        <v>0158</v>
      </c>
      <c r="R124" s="2" t="str">
        <f ca="1">IFERROR(__xludf.DUMMYFUNCTION("""COMPUTED_VALUE"""),"16.001.0015.0451.0122.2085.33.90.14")</f>
        <v>16.001.0015.0451.0122.2085.33.90.14</v>
      </c>
      <c r="S124" s="2" t="str">
        <f ca="1">IFERROR(__xludf.DUMMYFUNCTION("""COMPUTED_VALUE"""),"0000")</f>
        <v>0000</v>
      </c>
      <c r="T124" s="2">
        <f ca="1">IFERROR(__xludf.DUMMYFUNCTION("""COMPUTED_VALUE"""),2024)</f>
        <v>2024</v>
      </c>
      <c r="U124" s="2" t="str">
        <f ca="1">IFERROR(__xludf.DUMMYFUNCTION("""COMPUTED_VALUE"""),"0161")</f>
        <v>0161</v>
      </c>
      <c r="V124" s="2" t="str">
        <f ca="1">IFERROR(__xludf.DUMMYFUNCTION("""COMPUTED_VALUE"""),"05.003.0012.0361.0074.5009.44.90.51")</f>
        <v>05.003.0012.0361.0074.5009.44.90.51</v>
      </c>
      <c r="W124" s="2" t="str">
        <f ca="1">IFERROR(__xludf.DUMMYFUNCTION("""COMPUTED_VALUE"""),"104")</f>
        <v>104</v>
      </c>
      <c r="X124" s="2"/>
      <c r="Y124" s="2"/>
      <c r="Z124" s="2"/>
      <c r="AA124" s="2"/>
      <c r="AB124" s="2"/>
      <c r="AC124" s="2"/>
      <c r="AD124" s="2"/>
      <c r="AE124" s="2"/>
      <c r="AF124" s="2"/>
    </row>
    <row r="125" spans="1:32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>
        <f ca="1">IFERROR(__xludf.DUMMYFUNCTION("""COMPUTED_VALUE"""),2023)</f>
        <v>2023</v>
      </c>
      <c r="Q125" s="2" t="str">
        <f ca="1">IFERROR(__xludf.DUMMYFUNCTION("""COMPUTED_VALUE"""),"0159")</f>
        <v>0159</v>
      </c>
      <c r="R125" s="2" t="str">
        <f ca="1">IFERROR(__xludf.DUMMYFUNCTION("""COMPUTED_VALUE"""),"16.001.0015.0451.0122.2085.33.90.14")</f>
        <v>16.001.0015.0451.0122.2085.33.90.14</v>
      </c>
      <c r="S125" s="2" t="str">
        <f ca="1">IFERROR(__xludf.DUMMYFUNCTION("""COMPUTED_VALUE"""),"05104")</f>
        <v>05104</v>
      </c>
      <c r="T125" s="2">
        <f ca="1">IFERROR(__xludf.DUMMYFUNCTION("""COMPUTED_VALUE"""),2024)</f>
        <v>2024</v>
      </c>
      <c r="U125" s="2" t="str">
        <f ca="1">IFERROR(__xludf.DUMMYFUNCTION("""COMPUTED_VALUE"""),"0162")</f>
        <v>0162</v>
      </c>
      <c r="V125" s="2" t="str">
        <f ca="1">IFERROR(__xludf.DUMMYFUNCTION("""COMPUTED_VALUE"""),"05.003.0012.0361.0074.5010.44.90.52")</f>
        <v>05.003.0012.0361.0074.5010.44.90.52</v>
      </c>
      <c r="W125" s="2" t="str">
        <f ca="1">IFERROR(__xludf.DUMMYFUNCTION("""COMPUTED_VALUE"""),"107")</f>
        <v>107</v>
      </c>
      <c r="X125" s="2"/>
      <c r="Y125" s="2"/>
      <c r="Z125" s="2"/>
      <c r="AA125" s="2"/>
      <c r="AB125" s="2"/>
      <c r="AC125" s="2"/>
      <c r="AD125" s="2"/>
      <c r="AE125" s="2"/>
      <c r="AF125" s="2"/>
    </row>
    <row r="126" spans="1:32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>
        <f ca="1">IFERROR(__xludf.DUMMYFUNCTION("""COMPUTED_VALUE"""),2023)</f>
        <v>2023</v>
      </c>
      <c r="Q126" s="2" t="str">
        <f ca="1">IFERROR(__xludf.DUMMYFUNCTION("""COMPUTED_VALUE"""),"0160")</f>
        <v>0160</v>
      </c>
      <c r="R126" s="2" t="str">
        <f ca="1">IFERROR(__xludf.DUMMYFUNCTION("""COMPUTED_VALUE"""),"10.001.0004.0122.0123.2109.33.90.14")</f>
        <v>10.001.0004.0122.0123.2109.33.90.14</v>
      </c>
      <c r="S126" s="2" t="str">
        <f ca="1">IFERROR(__xludf.DUMMYFUNCTION("""COMPUTED_VALUE"""),"0000")</f>
        <v>0000</v>
      </c>
      <c r="T126" s="2">
        <f ca="1">IFERROR(__xludf.DUMMYFUNCTION("""COMPUTED_VALUE"""),2024)</f>
        <v>2024</v>
      </c>
      <c r="U126" s="2" t="str">
        <f ca="1">IFERROR(__xludf.DUMMYFUNCTION("""COMPUTED_VALUE"""),"0164")</f>
        <v>0164</v>
      </c>
      <c r="V126" s="2" t="str">
        <f ca="1">IFERROR(__xludf.DUMMYFUNCTION("""COMPUTED_VALUE"""),"05.003.0012.0365.0074.5002.44.90.52")</f>
        <v>05.003.0012.0365.0074.5002.44.90.52</v>
      </c>
      <c r="W126" s="2" t="str">
        <f ca="1">IFERROR(__xludf.DUMMYFUNCTION("""COMPUTED_VALUE"""),"107")</f>
        <v>107</v>
      </c>
      <c r="X126" s="2"/>
      <c r="Y126" s="2"/>
      <c r="Z126" s="2"/>
      <c r="AA126" s="2"/>
      <c r="AB126" s="2"/>
      <c r="AC126" s="2"/>
      <c r="AD126" s="2"/>
      <c r="AE126" s="2"/>
      <c r="AF126" s="2"/>
    </row>
    <row r="127" spans="1:32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>
        <f ca="1">IFERROR(__xludf.DUMMYFUNCTION("""COMPUTED_VALUE"""),2023)</f>
        <v>2023</v>
      </c>
      <c r="Q127" s="2" t="str">
        <f ca="1">IFERROR(__xludf.DUMMYFUNCTION("""COMPUTED_VALUE"""),"0162")</f>
        <v>0162</v>
      </c>
      <c r="R127" s="2" t="str">
        <f ca="1">IFERROR(__xludf.DUMMYFUNCTION("""COMPUTED_VALUE"""),"18.001.0004.0121.0140.2023.33.90.14")</f>
        <v>18.001.0004.0121.0140.2023.33.90.14</v>
      </c>
      <c r="S127" s="2" t="str">
        <f ca="1">IFERROR(__xludf.DUMMYFUNCTION("""COMPUTED_VALUE"""),"0000")</f>
        <v>0000</v>
      </c>
      <c r="T127" s="2">
        <f ca="1">IFERROR(__xludf.DUMMYFUNCTION("""COMPUTED_VALUE"""),2024)</f>
        <v>2024</v>
      </c>
      <c r="U127" s="2" t="str">
        <f ca="1">IFERROR(__xludf.DUMMYFUNCTION("""COMPUTED_VALUE"""),"0165")</f>
        <v>0165</v>
      </c>
      <c r="V127" s="2" t="str">
        <f ca="1">IFERROR(__xludf.DUMMYFUNCTION("""COMPUTED_VALUE"""),"05.003.0012.0365.0074.5005.33.90.93")</f>
        <v>05.003.0012.0365.0074.5005.33.90.93</v>
      </c>
      <c r="W127" s="2" t="str">
        <f ca="1">IFERROR(__xludf.DUMMYFUNCTION("""COMPUTED_VALUE"""),"103")</f>
        <v>103</v>
      </c>
      <c r="X127" s="2"/>
      <c r="Y127" s="2"/>
      <c r="Z127" s="2"/>
      <c r="AA127" s="2"/>
      <c r="AB127" s="2"/>
      <c r="AC127" s="2"/>
      <c r="AD127" s="2"/>
      <c r="AE127" s="2"/>
      <c r="AF127" s="2"/>
    </row>
    <row r="128" spans="1:32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>
        <f ca="1">IFERROR(__xludf.DUMMYFUNCTION("""COMPUTED_VALUE"""),2023)</f>
        <v>2023</v>
      </c>
      <c r="Q128" s="2" t="str">
        <f ca="1">IFERROR(__xludf.DUMMYFUNCTION("""COMPUTED_VALUE"""),"0163")</f>
        <v>0163</v>
      </c>
      <c r="R128" s="2" t="str">
        <f ca="1">IFERROR(__xludf.DUMMYFUNCTION("""COMPUTED_VALUE"""),"18.002.0006.0181.0140.2024.33.90.14")</f>
        <v>18.002.0006.0181.0140.2024.33.90.14</v>
      </c>
      <c r="S128" s="2" t="str">
        <f ca="1">IFERROR(__xludf.DUMMYFUNCTION("""COMPUTED_VALUE"""),"0000")</f>
        <v>0000</v>
      </c>
      <c r="T128" s="2">
        <f ca="1">IFERROR(__xludf.DUMMYFUNCTION("""COMPUTED_VALUE"""),2024)</f>
        <v>2024</v>
      </c>
      <c r="U128" s="2" t="str">
        <f ca="1">IFERROR(__xludf.DUMMYFUNCTION("""COMPUTED_VALUE"""),"1197")</f>
        <v>1197</v>
      </c>
      <c r="V128" s="2" t="str">
        <f ca="1">IFERROR(__xludf.DUMMYFUNCTION("""COMPUTED_VALUE"""),"05.003.0012.0365.0074.5005.44.90.51")</f>
        <v>05.003.0012.0365.0074.5005.44.90.51</v>
      </c>
      <c r="W128" s="2" t="str">
        <f ca="1">IFERROR(__xludf.DUMMYFUNCTION("""COMPUTED_VALUE"""),"0")</f>
        <v>0</v>
      </c>
      <c r="X128" s="2"/>
      <c r="Y128" s="2"/>
      <c r="Z128" s="2"/>
      <c r="AA128" s="2"/>
      <c r="AB128" s="2"/>
      <c r="AC128" s="2"/>
      <c r="AD128" s="2"/>
      <c r="AE128" s="2"/>
      <c r="AF128" s="2"/>
    </row>
    <row r="129" spans="1:32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>
        <f ca="1">IFERROR(__xludf.DUMMYFUNCTION("""COMPUTED_VALUE"""),2023)</f>
        <v>2023</v>
      </c>
      <c r="Q129" s="2" t="str">
        <f ca="1">IFERROR(__xludf.DUMMYFUNCTION("""COMPUTED_VALUE"""),"0164")</f>
        <v>0164</v>
      </c>
      <c r="R129" s="2" t="str">
        <f ca="1">IFERROR(__xludf.DUMMYFUNCTION("""COMPUTED_VALUE"""),"18.002.0006.0181.0140.2024.33.90.14")</f>
        <v>18.002.0006.0181.0140.2024.33.90.14</v>
      </c>
      <c r="S129" s="2" t="str">
        <f ca="1">IFERROR(__xludf.DUMMYFUNCTION("""COMPUTED_VALUE"""),"01011")</f>
        <v>01011</v>
      </c>
      <c r="T129" s="2">
        <f ca="1">IFERROR(__xludf.DUMMYFUNCTION("""COMPUTED_VALUE"""),2024)</f>
        <v>2024</v>
      </c>
      <c r="U129" s="2" t="str">
        <f ca="1">IFERROR(__xludf.DUMMYFUNCTION("""COMPUTED_VALUE"""),"0170")</f>
        <v>0170</v>
      </c>
      <c r="V129" s="2" t="str">
        <f ca="1">IFERROR(__xludf.DUMMYFUNCTION("""COMPUTED_VALUE"""),"05.003.0012.0365.0074.5005.44.90.51")</f>
        <v>05.003.0012.0365.0074.5005.44.90.51</v>
      </c>
      <c r="W129" s="2" t="str">
        <f ca="1">IFERROR(__xludf.DUMMYFUNCTION("""COMPUTED_VALUE"""),"103")</f>
        <v>103</v>
      </c>
      <c r="X129" s="2"/>
      <c r="Y129" s="2"/>
      <c r="Z129" s="2"/>
      <c r="AA129" s="2"/>
      <c r="AB129" s="2"/>
      <c r="AC129" s="2"/>
      <c r="AD129" s="2"/>
      <c r="AE129" s="2"/>
      <c r="AF129" s="2"/>
    </row>
    <row r="130" spans="1:32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>
        <f ca="1">IFERROR(__xludf.DUMMYFUNCTION("""COMPUTED_VALUE"""),2023)</f>
        <v>2023</v>
      </c>
      <c r="Q130" s="2" t="str">
        <f ca="1">IFERROR(__xludf.DUMMYFUNCTION("""COMPUTED_VALUE"""),"0165")</f>
        <v>0165</v>
      </c>
      <c r="R130" s="2" t="str">
        <f ca="1">IFERROR(__xludf.DUMMYFUNCTION("""COMPUTED_VALUE"""),"18.002.0006.0182.0140.2025.33.90.14")</f>
        <v>18.002.0006.0182.0140.2025.33.90.14</v>
      </c>
      <c r="S130" s="2" t="str">
        <f ca="1">IFERROR(__xludf.DUMMYFUNCTION("""COMPUTED_VALUE"""),"0000")</f>
        <v>0000</v>
      </c>
      <c r="T130" s="2">
        <f ca="1">IFERROR(__xludf.DUMMYFUNCTION("""COMPUTED_VALUE"""),2024)</f>
        <v>2024</v>
      </c>
      <c r="U130" s="2" t="str">
        <f ca="1">IFERROR(__xludf.DUMMYFUNCTION("""COMPUTED_VALUE"""),"0172")</f>
        <v>0172</v>
      </c>
      <c r="V130" s="2" t="str">
        <f ca="1">IFERROR(__xludf.DUMMYFUNCTION("""COMPUTED_VALUE"""),"05.003.0012.0365.0074.5005.44.90.51")</f>
        <v>05.003.0012.0365.0074.5005.44.90.51</v>
      </c>
      <c r="W130" s="2" t="str">
        <f ca="1">IFERROR(__xludf.DUMMYFUNCTION("""COMPUTED_VALUE"""),"10181")</f>
        <v>10181</v>
      </c>
      <c r="X130" s="2"/>
      <c r="Y130" s="2"/>
      <c r="Z130" s="2"/>
      <c r="AA130" s="2"/>
      <c r="AB130" s="2"/>
      <c r="AC130" s="2"/>
      <c r="AD130" s="2"/>
      <c r="AE130" s="2"/>
      <c r="AF130" s="2"/>
    </row>
    <row r="131" spans="1:32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>
        <f ca="1">IFERROR(__xludf.DUMMYFUNCTION("""COMPUTED_VALUE"""),2023)</f>
        <v>2023</v>
      </c>
      <c r="Q131" s="2" t="str">
        <f ca="1">IFERROR(__xludf.DUMMYFUNCTION("""COMPUTED_VALUE"""),"0166")</f>
        <v>0166</v>
      </c>
      <c r="R131" s="2" t="str">
        <f ca="1">IFERROR(__xludf.DUMMYFUNCTION("""COMPUTED_VALUE"""),"18.003.0015.0452.0140.2027.33.90.14")</f>
        <v>18.003.0015.0452.0140.2027.33.90.14</v>
      </c>
      <c r="S131" s="2" t="str">
        <f ca="1">IFERROR(__xludf.DUMMYFUNCTION("""COMPUTED_VALUE"""),"0000")</f>
        <v>0000</v>
      </c>
      <c r="T131" s="2">
        <f ca="1">IFERROR(__xludf.DUMMYFUNCTION("""COMPUTED_VALUE"""),2024)</f>
        <v>2024</v>
      </c>
      <c r="U131" s="2" t="str">
        <f ca="1">IFERROR(__xludf.DUMMYFUNCTION("""COMPUTED_VALUE"""),"0173")</f>
        <v>0173</v>
      </c>
      <c r="V131" s="2" t="str">
        <f ca="1">IFERROR(__xludf.DUMMYFUNCTION("""COMPUTED_VALUE"""),"05.003.0012.0365.0074.5011.44.90.52")</f>
        <v>05.003.0012.0365.0074.5011.44.90.52</v>
      </c>
      <c r="W131" s="2" t="str">
        <f ca="1">IFERROR(__xludf.DUMMYFUNCTION("""COMPUTED_VALUE"""),"10182")</f>
        <v>10182</v>
      </c>
      <c r="X131" s="2"/>
      <c r="Y131" s="2"/>
      <c r="Z131" s="2"/>
      <c r="AA131" s="2"/>
      <c r="AB131" s="2"/>
      <c r="AC131" s="2"/>
      <c r="AD131" s="2"/>
      <c r="AE131" s="2"/>
      <c r="AF131" s="2"/>
    </row>
    <row r="132" spans="1: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>
        <f ca="1">IFERROR(__xludf.DUMMYFUNCTION("""COMPUTED_VALUE"""),2023)</f>
        <v>2023</v>
      </c>
      <c r="Q132" s="2" t="str">
        <f ca="1">IFERROR(__xludf.DUMMYFUNCTION("""COMPUTED_VALUE"""),"0167")</f>
        <v>0167</v>
      </c>
      <c r="R132" s="2" t="str">
        <f ca="1">IFERROR(__xludf.DUMMYFUNCTION("""COMPUTED_VALUE"""),"18.003.0015.0452.0140.2027.33.90.14")</f>
        <v>18.003.0015.0452.0140.2027.33.90.14</v>
      </c>
      <c r="S132" s="2" t="str">
        <f ca="1">IFERROR(__xludf.DUMMYFUNCTION("""COMPUTED_VALUE"""),"00509")</f>
        <v>00509</v>
      </c>
      <c r="T132" s="2">
        <f ca="1">IFERROR(__xludf.DUMMYFUNCTION("""COMPUTED_VALUE"""),2024)</f>
        <v>2024</v>
      </c>
      <c r="U132" s="2" t="str">
        <f ca="1">IFERROR(__xludf.DUMMYFUNCTION("""COMPUTED_VALUE"""),"0174")</f>
        <v>0174</v>
      </c>
      <c r="V132" s="2" t="str">
        <f ca="1">IFERROR(__xludf.DUMMYFUNCTION("""COMPUTED_VALUE"""),"05.003.0012.0365.0074.5012.44.90.51")</f>
        <v>05.003.0012.0365.0074.5012.44.90.51</v>
      </c>
      <c r="W132" s="2" t="str">
        <f ca="1">IFERROR(__xludf.DUMMYFUNCTION("""COMPUTED_VALUE"""),"107")</f>
        <v>107</v>
      </c>
      <c r="X132" s="2"/>
      <c r="Y132" s="2"/>
      <c r="Z132" s="2"/>
      <c r="AA132" s="2"/>
      <c r="AB132" s="2"/>
      <c r="AC132" s="2"/>
      <c r="AD132" s="2"/>
      <c r="AE132" s="2"/>
      <c r="AF132" s="2"/>
    </row>
    <row r="133" spans="1:32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>
        <f ca="1">IFERROR(__xludf.DUMMYFUNCTION("""COMPUTED_VALUE"""),2023)</f>
        <v>2023</v>
      </c>
      <c r="Q133" s="2" t="str">
        <f ca="1">IFERROR(__xludf.DUMMYFUNCTION("""COMPUTED_VALUE"""),"0168")</f>
        <v>0168</v>
      </c>
      <c r="R133" s="2" t="str">
        <f ca="1">IFERROR(__xludf.DUMMYFUNCTION("""COMPUTED_VALUE"""),"18.004.0006.0181.0140.2142.33.90.14")</f>
        <v>18.004.0006.0181.0140.2142.33.90.14</v>
      </c>
      <c r="S133" s="2" t="str">
        <f ca="1">IFERROR(__xludf.DUMMYFUNCTION("""COMPUTED_VALUE"""),"0000")</f>
        <v>0000</v>
      </c>
      <c r="T133" s="2">
        <f ca="1">IFERROR(__xludf.DUMMYFUNCTION("""COMPUTED_VALUE"""),2024)</f>
        <v>2024</v>
      </c>
      <c r="U133" s="2" t="str">
        <f ca="1">IFERROR(__xludf.DUMMYFUNCTION("""COMPUTED_VALUE"""),"0175")</f>
        <v>0175</v>
      </c>
      <c r="V133" s="2" t="str">
        <f ca="1">IFERROR(__xludf.DUMMYFUNCTION("""COMPUTED_VALUE"""),"05.004.0012.0361.0074.6017.31.90.04")</f>
        <v>05.004.0012.0361.0074.6017.31.90.04</v>
      </c>
      <c r="W133" s="2" t="str">
        <f ca="1">IFERROR(__xludf.DUMMYFUNCTION("""COMPUTED_VALUE"""),"107")</f>
        <v>107</v>
      </c>
      <c r="X133" s="2"/>
      <c r="Y133" s="2"/>
      <c r="Z133" s="2"/>
      <c r="AA133" s="2"/>
      <c r="AB133" s="2"/>
      <c r="AC133" s="2"/>
      <c r="AD133" s="2"/>
      <c r="AE133" s="2"/>
      <c r="AF133" s="2"/>
    </row>
    <row r="134" spans="1:32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>
        <f ca="1">IFERROR(__xludf.DUMMYFUNCTION("""COMPUTED_VALUE"""),2023)</f>
        <v>2023</v>
      </c>
      <c r="Q134" s="2" t="str">
        <f ca="1">IFERROR(__xludf.DUMMYFUNCTION("""COMPUTED_VALUE"""),"0169")</f>
        <v>0169</v>
      </c>
      <c r="R134" s="2" t="str">
        <f ca="1">IFERROR(__xludf.DUMMYFUNCTION("""COMPUTED_VALUE"""),"18.004.0006.0182.0140.2143.33.90.14")</f>
        <v>18.004.0006.0182.0140.2143.33.90.14</v>
      </c>
      <c r="S134" s="2" t="str">
        <f ca="1">IFERROR(__xludf.DUMMYFUNCTION("""COMPUTED_VALUE"""),"0000")</f>
        <v>0000</v>
      </c>
      <c r="T134" s="2">
        <f ca="1">IFERROR(__xludf.DUMMYFUNCTION("""COMPUTED_VALUE"""),2024)</f>
        <v>2024</v>
      </c>
      <c r="U134" s="2" t="str">
        <f ca="1">IFERROR(__xludf.DUMMYFUNCTION("""COMPUTED_VALUE"""),"0177")</f>
        <v>0177</v>
      </c>
      <c r="V134" s="2" t="str">
        <f ca="1">IFERROR(__xludf.DUMMYFUNCTION("""COMPUTED_VALUE"""),"05.004.0012.0361.0074.6017.31.90.04")</f>
        <v>05.004.0012.0361.0074.6017.31.90.04</v>
      </c>
      <c r="W134" s="2" t="str">
        <f ca="1">IFERROR(__xludf.DUMMYFUNCTION("""COMPUTED_VALUE"""),"101")</f>
        <v>101</v>
      </c>
      <c r="X134" s="2"/>
      <c r="Y134" s="2"/>
      <c r="Z134" s="2"/>
      <c r="AA134" s="2"/>
      <c r="AB134" s="2"/>
      <c r="AC134" s="2"/>
      <c r="AD134" s="2"/>
      <c r="AE134" s="2"/>
      <c r="AF134" s="2"/>
    </row>
    <row r="135" spans="1:32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>
        <f ca="1">IFERROR(__xludf.DUMMYFUNCTION("""COMPUTED_VALUE"""),2023)</f>
        <v>2023</v>
      </c>
      <c r="Q135" s="2" t="str">
        <f ca="1">IFERROR(__xludf.DUMMYFUNCTION("""COMPUTED_VALUE"""),"0170")</f>
        <v>0170</v>
      </c>
      <c r="R135" s="2" t="str">
        <f ca="1">IFERROR(__xludf.DUMMYFUNCTION("""COMPUTED_VALUE"""),"18.004.0015.0452.0140.2145.33.90.14")</f>
        <v>18.004.0015.0452.0140.2145.33.90.14</v>
      </c>
      <c r="S135" s="2" t="str">
        <f ca="1">IFERROR(__xludf.DUMMYFUNCTION("""COMPUTED_VALUE"""),"0000")</f>
        <v>0000</v>
      </c>
      <c r="T135" s="2">
        <f ca="1">IFERROR(__xludf.DUMMYFUNCTION("""COMPUTED_VALUE"""),2024)</f>
        <v>2024</v>
      </c>
      <c r="U135" s="2" t="str">
        <f ca="1">IFERROR(__xludf.DUMMYFUNCTION("""COMPUTED_VALUE"""),"0184")</f>
        <v>0184</v>
      </c>
      <c r="V135" s="2" t="str">
        <f ca="1">IFERROR(__xludf.DUMMYFUNCTION("""COMPUTED_VALUE"""),"05.004.0012.0361.0074.6017.31.90.11")</f>
        <v>05.004.0012.0361.0074.6017.31.90.11</v>
      </c>
      <c r="W135" s="2" t="str">
        <f ca="1">IFERROR(__xludf.DUMMYFUNCTION("""COMPUTED_VALUE"""),"104")</f>
        <v>104</v>
      </c>
      <c r="X135" s="2"/>
      <c r="Y135" s="2"/>
      <c r="Z135" s="2"/>
      <c r="AA135" s="2"/>
      <c r="AB135" s="2"/>
      <c r="AC135" s="2"/>
      <c r="AD135" s="2"/>
      <c r="AE135" s="2"/>
      <c r="AF135" s="2"/>
    </row>
    <row r="136" spans="1:32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>
        <f ca="1">IFERROR(__xludf.DUMMYFUNCTION("""COMPUTED_VALUE"""),2023)</f>
        <v>2023</v>
      </c>
      <c r="Q136" s="2" t="str">
        <f ca="1">IFERROR(__xludf.DUMMYFUNCTION("""COMPUTED_VALUE"""),"0171")</f>
        <v>0171</v>
      </c>
      <c r="R136" s="2" t="str">
        <f ca="1">IFERROR(__xludf.DUMMYFUNCTION("""COMPUTED_VALUE"""),"02.001.0004.0121.0022.2104.33.90.30")</f>
        <v>02.001.0004.0121.0022.2104.33.90.30</v>
      </c>
      <c r="S136" s="2" t="str">
        <f ca="1">IFERROR(__xludf.DUMMYFUNCTION("""COMPUTED_VALUE"""),"0000")</f>
        <v>0000</v>
      </c>
      <c r="T136" s="2">
        <f ca="1">IFERROR(__xludf.DUMMYFUNCTION("""COMPUTED_VALUE"""),2024)</f>
        <v>2024</v>
      </c>
      <c r="U136" s="2" t="str">
        <f ca="1">IFERROR(__xludf.DUMMYFUNCTION("""COMPUTED_VALUE"""),"0178")</f>
        <v>0178</v>
      </c>
      <c r="V136" s="2" t="str">
        <f ca="1">IFERROR(__xludf.DUMMYFUNCTION("""COMPUTED_VALUE"""),"05.004.0012.0361.0074.6017.31.90.11")</f>
        <v>05.004.0012.0361.0074.6017.31.90.11</v>
      </c>
      <c r="W136" s="2" t="str">
        <f ca="1">IFERROR(__xludf.DUMMYFUNCTION("""COMPUTED_VALUE"""),"101")</f>
        <v>101</v>
      </c>
      <c r="X136" s="2"/>
      <c r="Y136" s="2"/>
      <c r="Z136" s="2"/>
      <c r="AA136" s="2"/>
      <c r="AB136" s="2"/>
      <c r="AC136" s="2"/>
      <c r="AD136" s="2"/>
      <c r="AE136" s="2"/>
      <c r="AF136" s="2"/>
    </row>
    <row r="137" spans="1:32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>
        <f ca="1">IFERROR(__xludf.DUMMYFUNCTION("""COMPUTED_VALUE"""),2023)</f>
        <v>2023</v>
      </c>
      <c r="Q137" s="2" t="str">
        <f ca="1">IFERROR(__xludf.DUMMYFUNCTION("""COMPUTED_VALUE"""),"0172")</f>
        <v>0172</v>
      </c>
      <c r="R137" s="2" t="str">
        <f ca="1">IFERROR(__xludf.DUMMYFUNCTION("""COMPUTED_VALUE"""),"02.004.0004.0122.0022.2106.33.90.30")</f>
        <v>02.004.0004.0122.0022.2106.33.90.30</v>
      </c>
      <c r="S137" s="2" t="str">
        <f ca="1">IFERROR(__xludf.DUMMYFUNCTION("""COMPUTED_VALUE"""),"0000")</f>
        <v>0000</v>
      </c>
      <c r="T137" s="2">
        <f ca="1">IFERROR(__xludf.DUMMYFUNCTION("""COMPUTED_VALUE"""),2024)</f>
        <v>2024</v>
      </c>
      <c r="U137" s="2" t="str">
        <f ca="1">IFERROR(__xludf.DUMMYFUNCTION("""COMPUTED_VALUE"""),"0182")</f>
        <v>0182</v>
      </c>
      <c r="V137" s="2" t="str">
        <f ca="1">IFERROR(__xludf.DUMMYFUNCTION("""COMPUTED_VALUE"""),"05.004.0012.0361.0074.6017.31.90.11")</f>
        <v>05.004.0012.0361.0074.6017.31.90.11</v>
      </c>
      <c r="W137" s="2" t="str">
        <f ca="1">IFERROR(__xludf.DUMMYFUNCTION("""COMPUTED_VALUE"""),"102")</f>
        <v>102</v>
      </c>
      <c r="X137" s="2"/>
      <c r="Y137" s="2"/>
      <c r="Z137" s="2"/>
      <c r="AA137" s="2"/>
      <c r="AB137" s="2"/>
      <c r="AC137" s="2"/>
      <c r="AD137" s="2"/>
      <c r="AE137" s="2"/>
      <c r="AF137" s="2"/>
    </row>
    <row r="138" spans="1:32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>
        <f ca="1">IFERROR(__xludf.DUMMYFUNCTION("""COMPUTED_VALUE"""),2023)</f>
        <v>2023</v>
      </c>
      <c r="Q138" s="2" t="str">
        <f ca="1">IFERROR(__xludf.DUMMYFUNCTION("""COMPUTED_VALUE"""),"0173")</f>
        <v>0173</v>
      </c>
      <c r="R138" s="2" t="str">
        <f ca="1">IFERROR(__xludf.DUMMYFUNCTION("""COMPUTED_VALUE"""),"02.004.0004.0122.0022.2107.33.90.30")</f>
        <v>02.004.0004.0122.0022.2107.33.90.30</v>
      </c>
      <c r="S138" s="2" t="str">
        <f ca="1">IFERROR(__xludf.DUMMYFUNCTION("""COMPUTED_VALUE"""),"0000")</f>
        <v>0000</v>
      </c>
      <c r="T138" s="2">
        <f ca="1">IFERROR(__xludf.DUMMYFUNCTION("""COMPUTED_VALUE"""),2024)</f>
        <v>2024</v>
      </c>
      <c r="U138" s="2" t="str">
        <f ca="1">IFERROR(__xludf.DUMMYFUNCTION("""COMPUTED_VALUE"""),"0185")</f>
        <v>0185</v>
      </c>
      <c r="V138" s="2" t="str">
        <f ca="1">IFERROR(__xludf.DUMMYFUNCTION("""COMPUTED_VALUE"""),"05.004.0012.0361.0074.6017.31.90.11")</f>
        <v>05.004.0012.0361.0074.6017.31.90.11</v>
      </c>
      <c r="W138" s="2" t="str">
        <f ca="1">IFERROR(__xludf.DUMMYFUNCTION("""COMPUTED_VALUE"""),"104")</f>
        <v>104</v>
      </c>
      <c r="X138" s="2"/>
      <c r="Y138" s="2"/>
      <c r="Z138" s="2"/>
      <c r="AA138" s="2"/>
      <c r="AB138" s="2"/>
      <c r="AC138" s="2"/>
      <c r="AD138" s="2"/>
      <c r="AE138" s="2"/>
      <c r="AF138" s="2"/>
    </row>
    <row r="139" spans="1:32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>
        <f ca="1">IFERROR(__xludf.DUMMYFUNCTION("""COMPUTED_VALUE"""),2023)</f>
        <v>2023</v>
      </c>
      <c r="Q139" s="2" t="str">
        <f ca="1">IFERROR(__xludf.DUMMYFUNCTION("""COMPUTED_VALUE"""),"0174")</f>
        <v>0174</v>
      </c>
      <c r="R139" s="2" t="str">
        <f ca="1">IFERROR(__xludf.DUMMYFUNCTION("""COMPUTED_VALUE"""),"15.001.0004.0122.0022.2117.33.90.30")</f>
        <v>15.001.0004.0122.0022.2117.33.90.30</v>
      </c>
      <c r="S139" s="2" t="str">
        <f ca="1">IFERROR(__xludf.DUMMYFUNCTION("""COMPUTED_VALUE"""),"0000")</f>
        <v>0000</v>
      </c>
      <c r="T139" s="2">
        <f ca="1">IFERROR(__xludf.DUMMYFUNCTION("""COMPUTED_VALUE"""),2024)</f>
        <v>2024</v>
      </c>
      <c r="U139" s="2" t="str">
        <f ca="1">IFERROR(__xludf.DUMMYFUNCTION("""COMPUTED_VALUE"""),"0192")</f>
        <v>0192</v>
      </c>
      <c r="V139" s="2" t="str">
        <f ca="1">IFERROR(__xludf.DUMMYFUNCTION("""COMPUTED_VALUE"""),"05.004.0012.0361.0074.6017.31.90.13")</f>
        <v>05.004.0012.0361.0074.6017.31.90.13</v>
      </c>
      <c r="W139" s="2" t="str">
        <f ca="1">IFERROR(__xludf.DUMMYFUNCTION("""COMPUTED_VALUE"""),"1036")</f>
        <v>1036</v>
      </c>
      <c r="X139" s="2"/>
      <c r="Y139" s="2"/>
      <c r="Z139" s="2"/>
      <c r="AA139" s="2"/>
      <c r="AB139" s="2"/>
      <c r="AC139" s="2"/>
      <c r="AD139" s="2"/>
      <c r="AE139" s="2"/>
      <c r="AF139" s="2"/>
    </row>
    <row r="140" spans="1:32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>
        <f ca="1">IFERROR(__xludf.DUMMYFUNCTION("""COMPUTED_VALUE"""),2023)</f>
        <v>2023</v>
      </c>
      <c r="Q140" s="2" t="str">
        <f ca="1">IFERROR(__xludf.DUMMYFUNCTION("""COMPUTED_VALUE"""),"0175")</f>
        <v>0175</v>
      </c>
      <c r="R140" s="2" t="str">
        <f ca="1">IFERROR(__xludf.DUMMYFUNCTION("""COMPUTED_VALUE"""),"02.007.0004.0122.0022.2146.33.90.30")</f>
        <v>02.007.0004.0122.0022.2146.33.90.30</v>
      </c>
      <c r="S140" s="2" t="str">
        <f ca="1">IFERROR(__xludf.DUMMYFUNCTION("""COMPUTED_VALUE"""),"0000")</f>
        <v>0000</v>
      </c>
      <c r="T140" s="2">
        <f ca="1">IFERROR(__xludf.DUMMYFUNCTION("""COMPUTED_VALUE"""),2024)</f>
        <v>2024</v>
      </c>
      <c r="U140" s="2" t="str">
        <f ca="1">IFERROR(__xludf.DUMMYFUNCTION("""COMPUTED_VALUE"""),"0179")</f>
        <v>0179</v>
      </c>
      <c r="V140" s="2" t="str">
        <f ca="1">IFERROR(__xludf.DUMMYFUNCTION("""COMPUTED_VALUE"""),"05.004.0012.0361.0074.6017.31.90.13")</f>
        <v>05.004.0012.0361.0074.6017.31.90.13</v>
      </c>
      <c r="W140" s="2" t="str">
        <f ca="1">IFERROR(__xludf.DUMMYFUNCTION("""COMPUTED_VALUE"""),"101")</f>
        <v>101</v>
      </c>
      <c r="X140" s="2"/>
      <c r="Y140" s="2"/>
      <c r="Z140" s="2"/>
      <c r="AA140" s="2"/>
      <c r="AB140" s="2"/>
      <c r="AC140" s="2"/>
      <c r="AD140" s="2"/>
      <c r="AE140" s="2"/>
      <c r="AF140" s="2"/>
    </row>
    <row r="141" spans="1:32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>
        <f ca="1">IFERROR(__xludf.DUMMYFUNCTION("""COMPUTED_VALUE"""),2023)</f>
        <v>2023</v>
      </c>
      <c r="Q141" s="2" t="str">
        <f ca="1">IFERROR(__xludf.DUMMYFUNCTION("""COMPUTED_VALUE"""),"0176")</f>
        <v>0176</v>
      </c>
      <c r="R141" s="2" t="str">
        <f ca="1">IFERROR(__xludf.DUMMYFUNCTION("""COMPUTED_VALUE"""),"02.008.0004.0122.0022.2148.33.90.30")</f>
        <v>02.008.0004.0122.0022.2148.33.90.30</v>
      </c>
      <c r="S141" s="2" t="str">
        <f ca="1">IFERROR(__xludf.DUMMYFUNCTION("""COMPUTED_VALUE"""),"0000")</f>
        <v>0000</v>
      </c>
      <c r="T141" s="2">
        <f ca="1">IFERROR(__xludf.DUMMYFUNCTION("""COMPUTED_VALUE"""),2024)</f>
        <v>2024</v>
      </c>
      <c r="U141" s="2" t="str">
        <f ca="1">IFERROR(__xludf.DUMMYFUNCTION("""COMPUTED_VALUE"""),"0186")</f>
        <v>0186</v>
      </c>
      <c r="V141" s="2" t="str">
        <f ca="1">IFERROR(__xludf.DUMMYFUNCTION("""COMPUTED_VALUE"""),"05.004.0012.0361.0074.6017.31.90.94")</f>
        <v>05.004.0012.0361.0074.6017.31.90.94</v>
      </c>
      <c r="W141" s="2" t="str">
        <f ca="1">IFERROR(__xludf.DUMMYFUNCTION("""COMPUTED_VALUE"""),"104")</f>
        <v>104</v>
      </c>
      <c r="X141" s="2"/>
      <c r="Y141" s="2"/>
      <c r="Z141" s="2"/>
      <c r="AA141" s="2"/>
      <c r="AB141" s="2"/>
      <c r="AC141" s="2"/>
      <c r="AD141" s="2"/>
      <c r="AE141" s="2"/>
      <c r="AF141" s="2"/>
    </row>
    <row r="142" spans="1:3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>
        <f ca="1">IFERROR(__xludf.DUMMYFUNCTION("""COMPUTED_VALUE"""),2023)</f>
        <v>2023</v>
      </c>
      <c r="Q142" s="2" t="str">
        <f ca="1">IFERROR(__xludf.DUMMYFUNCTION("""COMPUTED_VALUE"""),"0177")</f>
        <v>0177</v>
      </c>
      <c r="R142" s="2" t="str">
        <f ca="1">IFERROR(__xludf.DUMMYFUNCTION("""COMPUTED_VALUE"""),"03.001.0004.0122.0030.2033.33.90.30")</f>
        <v>03.001.0004.0122.0030.2033.33.90.30</v>
      </c>
      <c r="S142" s="2" t="str">
        <f ca="1">IFERROR(__xludf.DUMMYFUNCTION("""COMPUTED_VALUE"""),"0000")</f>
        <v>0000</v>
      </c>
      <c r="T142" s="2">
        <f ca="1">IFERROR(__xludf.DUMMYFUNCTION("""COMPUTED_VALUE"""),2024)</f>
        <v>2024</v>
      </c>
      <c r="U142" s="2" t="str">
        <f ca="1">IFERROR(__xludf.DUMMYFUNCTION("""COMPUTED_VALUE"""),"0187")</f>
        <v>0187</v>
      </c>
      <c r="V142" s="2" t="str">
        <f ca="1">IFERROR(__xludf.DUMMYFUNCTION("""COMPUTED_VALUE"""),"05.004.0012.0361.0074.6017.31.90.96")</f>
        <v>05.004.0012.0361.0074.6017.31.90.96</v>
      </c>
      <c r="W142" s="2" t="str">
        <f ca="1">IFERROR(__xludf.DUMMYFUNCTION("""COMPUTED_VALUE"""),"104")</f>
        <v>104</v>
      </c>
      <c r="X142" s="2"/>
      <c r="Y142" s="2"/>
      <c r="Z142" s="2"/>
      <c r="AA142" s="2"/>
      <c r="AB142" s="2"/>
      <c r="AC142" s="2"/>
      <c r="AD142" s="2"/>
      <c r="AE142" s="2"/>
      <c r="AF142" s="2"/>
    </row>
    <row r="143" spans="1:32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>
        <f ca="1">IFERROR(__xludf.DUMMYFUNCTION("""COMPUTED_VALUE"""),2023)</f>
        <v>2023</v>
      </c>
      <c r="Q143" s="2" t="str">
        <f ca="1">IFERROR(__xludf.DUMMYFUNCTION("""COMPUTED_VALUE"""),"0178")</f>
        <v>0178</v>
      </c>
      <c r="R143" s="2" t="str">
        <f ca="1">IFERROR(__xludf.DUMMYFUNCTION("""COMPUTED_VALUE"""),"04.004.0004.0122.0040.1001.33.90.30")</f>
        <v>04.004.0004.0122.0040.1001.33.90.30</v>
      </c>
      <c r="S143" s="2" t="str">
        <f ca="1">IFERROR(__xludf.DUMMYFUNCTION("""COMPUTED_VALUE"""),"0000")</f>
        <v>0000</v>
      </c>
      <c r="T143" s="2">
        <f ca="1">IFERROR(__xludf.DUMMYFUNCTION("""COMPUTED_VALUE"""),2024)</f>
        <v>2024</v>
      </c>
      <c r="U143" s="2" t="str">
        <f ca="1">IFERROR(__xludf.DUMMYFUNCTION("""COMPUTED_VALUE"""),"0188")</f>
        <v>0188</v>
      </c>
      <c r="V143" s="2" t="str">
        <f ca="1">IFERROR(__xludf.DUMMYFUNCTION("""COMPUTED_VALUE"""),"05.004.0012.0361.0074.6017.31.91.13")</f>
        <v>05.004.0012.0361.0074.6017.31.91.13</v>
      </c>
      <c r="W143" s="2" t="str">
        <f ca="1">IFERROR(__xludf.DUMMYFUNCTION("""COMPUTED_VALUE"""),"104")</f>
        <v>104</v>
      </c>
      <c r="X143" s="2"/>
      <c r="Y143" s="2"/>
      <c r="Z143" s="2"/>
      <c r="AA143" s="2"/>
      <c r="AB143" s="2"/>
      <c r="AC143" s="2"/>
      <c r="AD143" s="2"/>
      <c r="AE143" s="2"/>
      <c r="AF143" s="2"/>
    </row>
    <row r="144" spans="1:32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>
        <f ca="1">IFERROR(__xludf.DUMMYFUNCTION("""COMPUTED_VALUE"""),2023)</f>
        <v>2023</v>
      </c>
      <c r="Q144" s="2" t="str">
        <f ca="1">IFERROR(__xludf.DUMMYFUNCTION("""COMPUTED_VALUE"""),"0179")</f>
        <v>0179</v>
      </c>
      <c r="R144" s="2" t="str">
        <f ca="1">IFERROR(__xludf.DUMMYFUNCTION("""COMPUTED_VALUE"""),"04.001.0004.0122.0040.2001.33.90.30")</f>
        <v>04.001.0004.0122.0040.2001.33.90.30</v>
      </c>
      <c r="S144" s="2" t="str">
        <f ca="1">IFERROR(__xludf.DUMMYFUNCTION("""COMPUTED_VALUE"""),"0000")</f>
        <v>0000</v>
      </c>
      <c r="T144" s="2">
        <f ca="1">IFERROR(__xludf.DUMMYFUNCTION("""COMPUTED_VALUE"""),2024)</f>
        <v>2024</v>
      </c>
      <c r="U144" s="2" t="str">
        <f ca="1">IFERROR(__xludf.DUMMYFUNCTION("""COMPUTED_VALUE"""),"0180")</f>
        <v>0180</v>
      </c>
      <c r="V144" s="2" t="str">
        <f ca="1">IFERROR(__xludf.DUMMYFUNCTION("""COMPUTED_VALUE"""),"05.004.0012.0361.0074.6017.31.91.13")</f>
        <v>05.004.0012.0361.0074.6017.31.91.13</v>
      </c>
      <c r="W144" s="2" t="str">
        <f ca="1">IFERROR(__xludf.DUMMYFUNCTION("""COMPUTED_VALUE"""),"101")</f>
        <v>101</v>
      </c>
      <c r="X144" s="2"/>
      <c r="Y144" s="2"/>
      <c r="Z144" s="2"/>
      <c r="AA144" s="2"/>
      <c r="AB144" s="2"/>
      <c r="AC144" s="2"/>
      <c r="AD144" s="2"/>
      <c r="AE144" s="2"/>
      <c r="AF144" s="2"/>
    </row>
    <row r="145" spans="1:32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>
        <f ca="1">IFERROR(__xludf.DUMMYFUNCTION("""COMPUTED_VALUE"""),2023)</f>
        <v>2023</v>
      </c>
      <c r="Q145" s="2" t="str">
        <f ca="1">IFERROR(__xludf.DUMMYFUNCTION("""COMPUTED_VALUE"""),"0180")</f>
        <v>0180</v>
      </c>
      <c r="R145" s="2" t="str">
        <f ca="1">IFERROR(__xludf.DUMMYFUNCTION("""COMPUTED_VALUE"""),"04.001.0004.0122.0040.2002.33.90.30")</f>
        <v>04.001.0004.0122.0040.2002.33.90.30</v>
      </c>
      <c r="S145" s="2" t="str">
        <f ca="1">IFERROR(__xludf.DUMMYFUNCTION("""COMPUTED_VALUE"""),"0000")</f>
        <v>0000</v>
      </c>
      <c r="T145" s="2">
        <f ca="1">IFERROR(__xludf.DUMMYFUNCTION("""COMPUTED_VALUE"""),2024)</f>
        <v>2024</v>
      </c>
      <c r="U145" s="2" t="str">
        <f ca="1">IFERROR(__xludf.DUMMYFUNCTION("""COMPUTED_VALUE"""),"0183")</f>
        <v>0183</v>
      </c>
      <c r="V145" s="2" t="str">
        <f ca="1">IFERROR(__xludf.DUMMYFUNCTION("""COMPUTED_VALUE"""),"05.004.0012.0361.0074.6017.31.91.13")</f>
        <v>05.004.0012.0361.0074.6017.31.91.13</v>
      </c>
      <c r="W145" s="2" t="str">
        <f ca="1">IFERROR(__xludf.DUMMYFUNCTION("""COMPUTED_VALUE"""),"102")</f>
        <v>102</v>
      </c>
      <c r="X145" s="2"/>
      <c r="Y145" s="2"/>
      <c r="Z145" s="2"/>
      <c r="AA145" s="2"/>
      <c r="AB145" s="2"/>
      <c r="AC145" s="2"/>
      <c r="AD145" s="2"/>
      <c r="AE145" s="2"/>
      <c r="AF145" s="2"/>
    </row>
    <row r="146" spans="1:32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>
        <f ca="1">IFERROR(__xludf.DUMMYFUNCTION("""COMPUTED_VALUE"""),2023)</f>
        <v>2023</v>
      </c>
      <c r="Q146" s="2" t="str">
        <f ca="1">IFERROR(__xludf.DUMMYFUNCTION("""COMPUTED_VALUE"""),"0181")</f>
        <v>0181</v>
      </c>
      <c r="R146" s="2" t="str">
        <f ca="1">IFERROR(__xludf.DUMMYFUNCTION("""COMPUTED_VALUE"""),"04.001.0004.0122.0040.2003.33.90.30")</f>
        <v>04.001.0004.0122.0040.2003.33.90.30</v>
      </c>
      <c r="S146" s="2" t="str">
        <f ca="1">IFERROR(__xludf.DUMMYFUNCTION("""COMPUTED_VALUE"""),"0000")</f>
        <v>0000</v>
      </c>
      <c r="T146" s="2">
        <f ca="1">IFERROR(__xludf.DUMMYFUNCTION("""COMPUTED_VALUE"""),2024)</f>
        <v>2024</v>
      </c>
      <c r="U146" s="2" t="str">
        <f ca="1">IFERROR(__xludf.DUMMYFUNCTION("""COMPUTED_VALUE"""),"0189")</f>
        <v>0189</v>
      </c>
      <c r="V146" s="2" t="str">
        <f ca="1">IFERROR(__xludf.DUMMYFUNCTION("""COMPUTED_VALUE"""),"05.004.0012.0361.0074.6017.31.91.13")</f>
        <v>05.004.0012.0361.0074.6017.31.91.13</v>
      </c>
      <c r="W146" s="2" t="str">
        <f ca="1">IFERROR(__xludf.DUMMYFUNCTION("""COMPUTED_VALUE"""),"104")</f>
        <v>104</v>
      </c>
      <c r="X146" s="2"/>
      <c r="Y146" s="2"/>
      <c r="Z146" s="2"/>
      <c r="AA146" s="2"/>
      <c r="AB146" s="2"/>
      <c r="AC146" s="2"/>
      <c r="AD146" s="2"/>
      <c r="AE146" s="2"/>
      <c r="AF146" s="2"/>
    </row>
    <row r="147" spans="1:32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>
        <f ca="1">IFERROR(__xludf.DUMMYFUNCTION("""COMPUTED_VALUE"""),2023)</f>
        <v>2023</v>
      </c>
      <c r="Q147" s="2" t="str">
        <f ca="1">IFERROR(__xludf.DUMMYFUNCTION("""COMPUTED_VALUE"""),"0182")</f>
        <v>0182</v>
      </c>
      <c r="R147" s="2" t="str">
        <f ca="1">IFERROR(__xludf.DUMMYFUNCTION("""COMPUTED_VALUE"""),"04.004.0004.0122.0040.2138.33.90.30")</f>
        <v>04.004.0004.0122.0040.2138.33.90.30</v>
      </c>
      <c r="S147" s="2" t="str">
        <f ca="1">IFERROR(__xludf.DUMMYFUNCTION("""COMPUTED_VALUE"""),"0000")</f>
        <v>0000</v>
      </c>
      <c r="T147" s="2">
        <f ca="1">IFERROR(__xludf.DUMMYFUNCTION("""COMPUTED_VALUE"""),2024)</f>
        <v>2024</v>
      </c>
      <c r="U147" s="2" t="str">
        <f ca="1">IFERROR(__xludf.DUMMYFUNCTION("""COMPUTED_VALUE"""),"0193")</f>
        <v>0193</v>
      </c>
      <c r="V147" s="2" t="str">
        <f ca="1">IFERROR(__xludf.DUMMYFUNCTION("""COMPUTED_VALUE"""),"05.004.0012.0361.0074.6017.33.90.08")</f>
        <v>05.004.0012.0361.0074.6017.33.90.08</v>
      </c>
      <c r="W147" s="2" t="str">
        <f ca="1">IFERROR(__xludf.DUMMYFUNCTION("""COMPUTED_VALUE"""),"1036")</f>
        <v>1036</v>
      </c>
      <c r="X147" s="2"/>
      <c r="Y147" s="2"/>
      <c r="Z147" s="2"/>
      <c r="AA147" s="2"/>
      <c r="AB147" s="2"/>
      <c r="AC147" s="2"/>
      <c r="AD147" s="2"/>
      <c r="AE147" s="2"/>
      <c r="AF147" s="2"/>
    </row>
    <row r="148" spans="1:32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>
        <f ca="1">IFERROR(__xludf.DUMMYFUNCTION("""COMPUTED_VALUE"""),2023)</f>
        <v>2023</v>
      </c>
      <c r="Q148" s="2" t="str">
        <f ca="1">IFERROR(__xludf.DUMMYFUNCTION("""COMPUTED_VALUE"""),"0183")</f>
        <v>0183</v>
      </c>
      <c r="R148" s="2" t="str">
        <f ca="1">IFERROR(__xludf.DUMMYFUNCTION("""COMPUTED_VALUE"""),"13.001.0004.0124.0051.2048.33.90.30")</f>
        <v>13.001.0004.0124.0051.2048.33.90.30</v>
      </c>
      <c r="S148" s="2" t="str">
        <f ca="1">IFERROR(__xludf.DUMMYFUNCTION("""COMPUTED_VALUE"""),"0000")</f>
        <v>0000</v>
      </c>
      <c r="T148" s="2">
        <f ca="1">IFERROR(__xludf.DUMMYFUNCTION("""COMPUTED_VALUE"""),2024)</f>
        <v>2024</v>
      </c>
      <c r="U148" s="2" t="str">
        <f ca="1">IFERROR(__xludf.DUMMYFUNCTION("""COMPUTED_VALUE"""),"0190")</f>
        <v>0190</v>
      </c>
      <c r="V148" s="2" t="str">
        <f ca="1">IFERROR(__xludf.DUMMYFUNCTION("""COMPUTED_VALUE"""),"05.004.0012.0361.0074.6017.33.90.46")</f>
        <v>05.004.0012.0361.0074.6017.33.90.46</v>
      </c>
      <c r="W148" s="2" t="str">
        <f ca="1">IFERROR(__xludf.DUMMYFUNCTION("""COMPUTED_VALUE"""),"104")</f>
        <v>104</v>
      </c>
      <c r="X148" s="2"/>
      <c r="Y148" s="2"/>
      <c r="Z148" s="2"/>
      <c r="AA148" s="2"/>
      <c r="AB148" s="2"/>
      <c r="AC148" s="2"/>
      <c r="AD148" s="2"/>
      <c r="AE148" s="2"/>
      <c r="AF148" s="2"/>
    </row>
    <row r="149" spans="1:32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>
        <f ca="1">IFERROR(__xludf.DUMMYFUNCTION("""COMPUTED_VALUE"""),2023)</f>
        <v>2023</v>
      </c>
      <c r="Q149" s="2" t="str">
        <f ca="1">IFERROR(__xludf.DUMMYFUNCTION("""COMPUTED_VALUE"""),"0184")</f>
        <v>0184</v>
      </c>
      <c r="R149" s="2" t="str">
        <f ca="1">IFERROR(__xludf.DUMMYFUNCTION("""COMPUTED_VALUE"""),"05.001.0012.0366.0074.2057.33.90.30")</f>
        <v>05.001.0012.0366.0074.2057.33.90.30</v>
      </c>
      <c r="S149" s="2" t="str">
        <f ca="1">IFERROR(__xludf.DUMMYFUNCTION("""COMPUTED_VALUE"""),"00104")</f>
        <v>00104</v>
      </c>
      <c r="T149" s="2">
        <f ca="1">IFERROR(__xludf.DUMMYFUNCTION("""COMPUTED_VALUE"""),2024)</f>
        <v>2024</v>
      </c>
      <c r="U149" s="2" t="str">
        <f ca="1">IFERROR(__xludf.DUMMYFUNCTION("""COMPUTED_VALUE"""),"0181")</f>
        <v>0181</v>
      </c>
      <c r="V149" s="2" t="str">
        <f ca="1">IFERROR(__xludf.DUMMYFUNCTION("""COMPUTED_VALUE"""),"05.004.0012.0361.0074.6017.33.90.46")</f>
        <v>05.004.0012.0361.0074.6017.33.90.46</v>
      </c>
      <c r="W149" s="2" t="str">
        <f ca="1">IFERROR(__xludf.DUMMYFUNCTION("""COMPUTED_VALUE"""),"101")</f>
        <v>101</v>
      </c>
      <c r="X149" s="2"/>
      <c r="Y149" s="2"/>
      <c r="Z149" s="2"/>
      <c r="AA149" s="2"/>
      <c r="AB149" s="2"/>
      <c r="AC149" s="2"/>
      <c r="AD149" s="2"/>
      <c r="AE149" s="2"/>
      <c r="AF149" s="2"/>
    </row>
    <row r="150" spans="1:32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>
        <f ca="1">IFERROR(__xludf.DUMMYFUNCTION("""COMPUTED_VALUE"""),2023)</f>
        <v>2023</v>
      </c>
      <c r="Q150" s="2" t="str">
        <f ca="1">IFERROR(__xludf.DUMMYFUNCTION("""COMPUTED_VALUE"""),"0185")</f>
        <v>0185</v>
      </c>
      <c r="R150" s="2" t="str">
        <f ca="1">IFERROR(__xludf.DUMMYFUNCTION("""COMPUTED_VALUE"""),"05.003.0012.0365.0074.5002.33.90.30")</f>
        <v>05.003.0012.0365.0074.5002.33.90.30</v>
      </c>
      <c r="S150" s="2" t="str">
        <f ca="1">IFERROR(__xludf.DUMMYFUNCTION("""COMPUTED_VALUE"""),"00129")</f>
        <v>00129</v>
      </c>
      <c r="T150" s="2">
        <f ca="1">IFERROR(__xludf.DUMMYFUNCTION("""COMPUTED_VALUE"""),2024)</f>
        <v>2024</v>
      </c>
      <c r="U150" s="2" t="str">
        <f ca="1">IFERROR(__xludf.DUMMYFUNCTION("""COMPUTED_VALUE"""),"0191")</f>
        <v>0191</v>
      </c>
      <c r="V150" s="2" t="str">
        <f ca="1">IFERROR(__xludf.DUMMYFUNCTION("""COMPUTED_VALUE"""),"05.004.0012.0365.0074.6016.31.90.04")</f>
        <v>05.004.0012.0365.0074.6016.31.90.04</v>
      </c>
      <c r="W150" s="2" t="str">
        <f ca="1">IFERROR(__xludf.DUMMYFUNCTION("""COMPUTED_VALUE"""),"104")</f>
        <v>104</v>
      </c>
      <c r="X150" s="2"/>
      <c r="Y150" s="2"/>
      <c r="Z150" s="2"/>
      <c r="AA150" s="2"/>
      <c r="AB150" s="2"/>
      <c r="AC150" s="2"/>
      <c r="AD150" s="2"/>
      <c r="AE150" s="2"/>
      <c r="AF150" s="2"/>
    </row>
    <row r="151" spans="1:32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>
        <f ca="1">IFERROR(__xludf.DUMMYFUNCTION("""COMPUTED_VALUE"""),2023)</f>
        <v>2023</v>
      </c>
      <c r="Q151" s="2" t="str">
        <f ca="1">IFERROR(__xludf.DUMMYFUNCTION("""COMPUTED_VALUE"""),"0186")</f>
        <v>0186</v>
      </c>
      <c r="R151" s="2" t="str">
        <f ca="1">IFERROR(__xludf.DUMMYFUNCTION("""COMPUTED_VALUE"""),"05.003.0012.0365.0074.5002.33.90.30")</f>
        <v>05.003.0012.0365.0074.5002.33.90.30</v>
      </c>
      <c r="S151" s="2" t="str">
        <f ca="1">IFERROR(__xludf.DUMMYFUNCTION("""COMPUTED_VALUE"""),"00133")</f>
        <v>00133</v>
      </c>
      <c r="T151" s="2">
        <f ca="1">IFERROR(__xludf.DUMMYFUNCTION("""COMPUTED_VALUE"""),2024)</f>
        <v>2024</v>
      </c>
      <c r="U151" s="2" t="str">
        <f ca="1">IFERROR(__xludf.DUMMYFUNCTION("""COMPUTED_VALUE"""),"0194")</f>
        <v>0194</v>
      </c>
      <c r="V151" s="2" t="str">
        <f ca="1">IFERROR(__xludf.DUMMYFUNCTION("""COMPUTED_VALUE"""),"05.004.0012.0365.0074.6016.31.90.04")</f>
        <v>05.004.0012.0365.0074.6016.31.90.04</v>
      </c>
      <c r="W151" s="2" t="str">
        <f ca="1">IFERROR(__xludf.DUMMYFUNCTION("""COMPUTED_VALUE"""),"101")</f>
        <v>101</v>
      </c>
      <c r="X151" s="2"/>
      <c r="Y151" s="2"/>
      <c r="Z151" s="2"/>
      <c r="AA151" s="2"/>
      <c r="AB151" s="2"/>
      <c r="AC151" s="2"/>
      <c r="AD151" s="2"/>
      <c r="AE151" s="2"/>
      <c r="AF151" s="2"/>
    </row>
    <row r="152" spans="1:3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>
        <f ca="1">IFERROR(__xludf.DUMMYFUNCTION("""COMPUTED_VALUE"""),2023)</f>
        <v>2023</v>
      </c>
      <c r="Q152" s="2" t="str">
        <f ca="1">IFERROR(__xludf.DUMMYFUNCTION("""COMPUTED_VALUE"""),"0187")</f>
        <v>0187</v>
      </c>
      <c r="R152" s="2" t="str">
        <f ca="1">IFERROR(__xludf.DUMMYFUNCTION("""COMPUTED_VALUE"""),"05.001.0012.0367.0074.6010.33.90.30")</f>
        <v>05.001.0012.0367.0074.6010.33.90.30</v>
      </c>
      <c r="S152" s="2" t="str">
        <f ca="1">IFERROR(__xludf.DUMMYFUNCTION("""COMPUTED_VALUE"""),"00104")</f>
        <v>00104</v>
      </c>
      <c r="T152" s="2">
        <f ca="1">IFERROR(__xludf.DUMMYFUNCTION("""COMPUTED_VALUE"""),2024)</f>
        <v>2024</v>
      </c>
      <c r="U152" s="2" t="str">
        <f ca="1">IFERROR(__xludf.DUMMYFUNCTION("""COMPUTED_VALUE"""),"0198")</f>
        <v>0198</v>
      </c>
      <c r="V152" s="2" t="str">
        <f ca="1">IFERROR(__xludf.DUMMYFUNCTION("""COMPUTED_VALUE"""),"05.004.0012.0365.0074.6016.31.90.11")</f>
        <v>05.004.0012.0365.0074.6016.31.90.11</v>
      </c>
      <c r="W152" s="2" t="str">
        <f ca="1">IFERROR(__xludf.DUMMYFUNCTION("""COMPUTED_VALUE"""),"103")</f>
        <v>103</v>
      </c>
      <c r="X152" s="2"/>
      <c r="Y152" s="2"/>
      <c r="Z152" s="2"/>
      <c r="AA152" s="2"/>
      <c r="AB152" s="2"/>
      <c r="AC152" s="2"/>
      <c r="AD152" s="2"/>
      <c r="AE152" s="2"/>
      <c r="AF152" s="2"/>
    </row>
    <row r="153" spans="1:32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>
        <f ca="1">IFERROR(__xludf.DUMMYFUNCTION("""COMPUTED_VALUE"""),2023)</f>
        <v>2023</v>
      </c>
      <c r="Q153" s="2" t="str">
        <f ca="1">IFERROR(__xludf.DUMMYFUNCTION("""COMPUTED_VALUE"""),"0188")</f>
        <v>0188</v>
      </c>
      <c r="R153" s="2" t="str">
        <f ca="1">IFERROR(__xludf.DUMMYFUNCTION("""COMPUTED_VALUE"""),"05.001.0004.0122.0074.6011.33.90.30")</f>
        <v>05.001.0004.0122.0074.6011.33.90.30</v>
      </c>
      <c r="S153" s="2" t="str">
        <f ca="1">IFERROR(__xludf.DUMMYFUNCTION("""COMPUTED_VALUE"""),"0000")</f>
        <v>0000</v>
      </c>
      <c r="T153" s="2">
        <f ca="1">IFERROR(__xludf.DUMMYFUNCTION("""COMPUTED_VALUE"""),2024)</f>
        <v>2024</v>
      </c>
      <c r="U153" s="2" t="str">
        <f ca="1">IFERROR(__xludf.DUMMYFUNCTION("""COMPUTED_VALUE"""),"0195")</f>
        <v>0195</v>
      </c>
      <c r="V153" s="2" t="str">
        <f ca="1">IFERROR(__xludf.DUMMYFUNCTION("""COMPUTED_VALUE"""),"05.004.0012.0365.0074.6016.31.90.11")</f>
        <v>05.004.0012.0365.0074.6016.31.90.11</v>
      </c>
      <c r="W153" s="2" t="str">
        <f ca="1">IFERROR(__xludf.DUMMYFUNCTION("""COMPUTED_VALUE"""),"101")</f>
        <v>101</v>
      </c>
      <c r="X153" s="2"/>
      <c r="Y153" s="2"/>
      <c r="Z153" s="2"/>
      <c r="AA153" s="2"/>
      <c r="AB153" s="2"/>
      <c r="AC153" s="2"/>
      <c r="AD153" s="2"/>
      <c r="AE153" s="2"/>
      <c r="AF153" s="2"/>
    </row>
    <row r="154" spans="1:32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>
        <f ca="1">IFERROR(__xludf.DUMMYFUNCTION("""COMPUTED_VALUE"""),2023)</f>
        <v>2023</v>
      </c>
      <c r="Q154" s="2" t="str">
        <f ca="1">IFERROR(__xludf.DUMMYFUNCTION("""COMPUTED_VALUE"""),"0189")</f>
        <v>0189</v>
      </c>
      <c r="R154" s="2" t="str">
        <f ca="1">IFERROR(__xludf.DUMMYFUNCTION("""COMPUTED_VALUE"""),"05.001.0012.0361.0074.6012.33.90.30")</f>
        <v>05.001.0012.0361.0074.6012.33.90.30</v>
      </c>
      <c r="S154" s="2" t="str">
        <f ca="1">IFERROR(__xludf.DUMMYFUNCTION("""COMPUTED_VALUE"""),"00107")</f>
        <v>00107</v>
      </c>
      <c r="T154" s="2">
        <f ca="1">IFERROR(__xludf.DUMMYFUNCTION("""COMPUTED_VALUE"""),2024)</f>
        <v>2024</v>
      </c>
      <c r="U154" s="2" t="str">
        <f ca="1">IFERROR(__xludf.DUMMYFUNCTION("""COMPUTED_VALUE"""),"0199")</f>
        <v>0199</v>
      </c>
      <c r="V154" s="2" t="str">
        <f ca="1">IFERROR(__xludf.DUMMYFUNCTION("""COMPUTED_VALUE"""),"05.004.0012.0365.0074.6016.31.90.13")</f>
        <v>05.004.0012.0365.0074.6016.31.90.13</v>
      </c>
      <c r="W154" s="2" t="str">
        <f ca="1">IFERROR(__xludf.DUMMYFUNCTION("""COMPUTED_VALUE"""),"103")</f>
        <v>103</v>
      </c>
      <c r="X154" s="2"/>
      <c r="Y154" s="2"/>
      <c r="Z154" s="2"/>
      <c r="AA154" s="2"/>
      <c r="AB154" s="2"/>
      <c r="AC154" s="2"/>
      <c r="AD154" s="2"/>
      <c r="AE154" s="2"/>
      <c r="AF154" s="2"/>
    </row>
    <row r="155" spans="1:32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>
        <f ca="1">IFERROR(__xludf.DUMMYFUNCTION("""COMPUTED_VALUE"""),2023)</f>
        <v>2023</v>
      </c>
      <c r="Q155" s="2" t="str">
        <f ca="1">IFERROR(__xludf.DUMMYFUNCTION("""COMPUTED_VALUE"""),"0190")</f>
        <v>0190</v>
      </c>
      <c r="R155" s="2" t="str">
        <f ca="1">IFERROR(__xludf.DUMMYFUNCTION("""COMPUTED_VALUE"""),"05.001.0012.0365.0074.6015.33.90.30")</f>
        <v>05.001.0012.0365.0074.6015.33.90.30</v>
      </c>
      <c r="S155" s="2" t="str">
        <f ca="1">IFERROR(__xludf.DUMMYFUNCTION("""COMPUTED_VALUE"""),"00102")</f>
        <v>00102</v>
      </c>
      <c r="T155" s="2">
        <f ca="1">IFERROR(__xludf.DUMMYFUNCTION("""COMPUTED_VALUE"""),2024)</f>
        <v>2024</v>
      </c>
      <c r="U155" s="2" t="str">
        <f ca="1">IFERROR(__xludf.DUMMYFUNCTION("""COMPUTED_VALUE"""),"0196")</f>
        <v>0196</v>
      </c>
      <c r="V155" s="2" t="str">
        <f ca="1">IFERROR(__xludf.DUMMYFUNCTION("""COMPUTED_VALUE"""),"05.004.0012.0365.0074.6016.31.90.13")</f>
        <v>05.004.0012.0365.0074.6016.31.90.13</v>
      </c>
      <c r="W155" s="2" t="str">
        <f ca="1">IFERROR(__xludf.DUMMYFUNCTION("""COMPUTED_VALUE"""),"101")</f>
        <v>101</v>
      </c>
      <c r="X155" s="2"/>
      <c r="Y155" s="2"/>
      <c r="Z155" s="2"/>
      <c r="AA155" s="2"/>
      <c r="AB155" s="2"/>
      <c r="AC155" s="2"/>
      <c r="AD155" s="2"/>
      <c r="AE155" s="2"/>
      <c r="AF155" s="2"/>
    </row>
    <row r="156" spans="1:32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>
        <f ca="1">IFERROR(__xludf.DUMMYFUNCTION("""COMPUTED_VALUE"""),2023)</f>
        <v>2023</v>
      </c>
      <c r="Q156" s="2" t="str">
        <f ca="1">IFERROR(__xludf.DUMMYFUNCTION("""COMPUTED_VALUE"""),"0191")</f>
        <v>0191</v>
      </c>
      <c r="R156" s="2" t="str">
        <f ca="1">IFERROR(__xludf.DUMMYFUNCTION("""COMPUTED_VALUE"""),"05.001.0012.0365.0074.6015.33.90.30")</f>
        <v>05.001.0012.0365.0074.6015.33.90.30</v>
      </c>
      <c r="S156" s="2" t="str">
        <f ca="1">IFERROR(__xludf.DUMMYFUNCTION("""COMPUTED_VALUE"""),"00103")</f>
        <v>00103</v>
      </c>
      <c r="T156" s="2">
        <f ca="1">IFERROR(__xludf.DUMMYFUNCTION("""COMPUTED_VALUE"""),2024)</f>
        <v>2024</v>
      </c>
      <c r="U156" s="2" t="str">
        <f ca="1">IFERROR(__xludf.DUMMYFUNCTION("""COMPUTED_VALUE"""),"0200")</f>
        <v>0200</v>
      </c>
      <c r="V156" s="2" t="str">
        <f ca="1">IFERROR(__xludf.DUMMYFUNCTION("""COMPUTED_VALUE"""),"05.004.0012.0365.0074.6016.31.90.94")</f>
        <v>05.004.0012.0365.0074.6016.31.90.94</v>
      </c>
      <c r="W156" s="2" t="str">
        <f ca="1">IFERROR(__xludf.DUMMYFUNCTION("""COMPUTED_VALUE"""),"103")</f>
        <v>103</v>
      </c>
      <c r="X156" s="2"/>
      <c r="Y156" s="2"/>
      <c r="Z156" s="2"/>
      <c r="AA156" s="2"/>
      <c r="AB156" s="2"/>
      <c r="AC156" s="2"/>
      <c r="AD156" s="2"/>
      <c r="AE156" s="2"/>
      <c r="AF156" s="2"/>
    </row>
    <row r="157" spans="1:32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>
        <f ca="1">IFERROR(__xludf.DUMMYFUNCTION("""COMPUTED_VALUE"""),2023)</f>
        <v>2023</v>
      </c>
      <c r="Q157" s="2" t="str">
        <f ca="1">IFERROR(__xludf.DUMMYFUNCTION("""COMPUTED_VALUE"""),"0192")</f>
        <v>0192</v>
      </c>
      <c r="R157" s="2" t="str">
        <f ca="1">IFERROR(__xludf.DUMMYFUNCTION("""COMPUTED_VALUE"""),"05.001.0012.0361.0074.6018.33.90.30")</f>
        <v>05.001.0012.0361.0074.6018.33.90.30</v>
      </c>
      <c r="S157" s="2" t="str">
        <f ca="1">IFERROR(__xludf.DUMMYFUNCTION("""COMPUTED_VALUE"""),"0000")</f>
        <v>0000</v>
      </c>
      <c r="T157" s="2">
        <f ca="1">IFERROR(__xludf.DUMMYFUNCTION("""COMPUTED_VALUE"""),2024)</f>
        <v>2024</v>
      </c>
      <c r="U157" s="2" t="str">
        <f ca="1">IFERROR(__xludf.DUMMYFUNCTION("""COMPUTED_VALUE"""),"0201")</f>
        <v>0201</v>
      </c>
      <c r="V157" s="2" t="str">
        <f ca="1">IFERROR(__xludf.DUMMYFUNCTION("""COMPUTED_VALUE"""),"05.004.0012.0365.0074.6016.31.91.13")</f>
        <v>05.004.0012.0365.0074.6016.31.91.13</v>
      </c>
      <c r="W157" s="2" t="str">
        <f ca="1">IFERROR(__xludf.DUMMYFUNCTION("""COMPUTED_VALUE"""),"103")</f>
        <v>103</v>
      </c>
      <c r="X157" s="2"/>
      <c r="Y157" s="2"/>
      <c r="Z157" s="2"/>
      <c r="AA157" s="2"/>
      <c r="AB157" s="2"/>
      <c r="AC157" s="2"/>
      <c r="AD157" s="2"/>
      <c r="AE157" s="2"/>
      <c r="AF157" s="2"/>
    </row>
    <row r="158" spans="1:32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>
        <f ca="1">IFERROR(__xludf.DUMMYFUNCTION("""COMPUTED_VALUE"""),2023)</f>
        <v>2023</v>
      </c>
      <c r="Q158" s="2" t="str">
        <f ca="1">IFERROR(__xludf.DUMMYFUNCTION("""COMPUTED_VALUE"""),"0193")</f>
        <v>0193</v>
      </c>
      <c r="R158" s="2" t="str">
        <f ca="1">IFERROR(__xludf.DUMMYFUNCTION("""COMPUTED_VALUE"""),"05.001.0012.0361.0074.6018.33.90.30")</f>
        <v>05.001.0012.0361.0074.6018.33.90.30</v>
      </c>
      <c r="S158" s="2" t="str">
        <f ca="1">IFERROR(__xludf.DUMMYFUNCTION("""COMPUTED_VALUE"""),"00039")</f>
        <v>00039</v>
      </c>
      <c r="T158" s="2">
        <f ca="1">IFERROR(__xludf.DUMMYFUNCTION("""COMPUTED_VALUE"""),2024)</f>
        <v>2024</v>
      </c>
      <c r="U158" s="2" t="str">
        <f ca="1">IFERROR(__xludf.DUMMYFUNCTION("""COMPUTED_VALUE"""),"0197")</f>
        <v>0197</v>
      </c>
      <c r="V158" s="2" t="str">
        <f ca="1">IFERROR(__xludf.DUMMYFUNCTION("""COMPUTED_VALUE"""),"05.004.0012.0365.0074.6016.31.91.13")</f>
        <v>05.004.0012.0365.0074.6016.31.91.13</v>
      </c>
      <c r="W158" s="2" t="str">
        <f ca="1">IFERROR(__xludf.DUMMYFUNCTION("""COMPUTED_VALUE"""),"101")</f>
        <v>101</v>
      </c>
      <c r="X158" s="2"/>
      <c r="Y158" s="2"/>
      <c r="Z158" s="2"/>
      <c r="AA158" s="2"/>
      <c r="AB158" s="2"/>
      <c r="AC158" s="2"/>
      <c r="AD158" s="2"/>
      <c r="AE158" s="2"/>
      <c r="AF158" s="2"/>
    </row>
    <row r="159" spans="1:32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>
        <f ca="1">IFERROR(__xludf.DUMMYFUNCTION("""COMPUTED_VALUE"""),2023)</f>
        <v>2023</v>
      </c>
      <c r="Q159" s="2" t="str">
        <f ca="1">IFERROR(__xludf.DUMMYFUNCTION("""COMPUTED_VALUE"""),"0194")</f>
        <v>0194</v>
      </c>
      <c r="R159" s="2" t="str">
        <f ca="1">IFERROR(__xludf.DUMMYFUNCTION("""COMPUTED_VALUE"""),"05.001.0012.0361.0074.6018.33.90.30")</f>
        <v>05.001.0012.0361.0074.6018.33.90.30</v>
      </c>
      <c r="S159" s="2" t="str">
        <f ca="1">IFERROR(__xludf.DUMMYFUNCTION("""COMPUTED_VALUE"""),"00102")</f>
        <v>00102</v>
      </c>
      <c r="T159" s="2">
        <f ca="1">IFERROR(__xludf.DUMMYFUNCTION("""COMPUTED_VALUE"""),2024)</f>
        <v>2024</v>
      </c>
      <c r="U159" s="2" t="str">
        <f ca="1">IFERROR(__xludf.DUMMYFUNCTION("""COMPUTED_VALUE"""),"0202")</f>
        <v>0202</v>
      </c>
      <c r="V159" s="2" t="str">
        <f ca="1">IFERROR(__xludf.DUMMYFUNCTION("""COMPUTED_VALUE"""),"05.004.0012.0365.0074.6016.33.90.46")</f>
        <v>05.004.0012.0365.0074.6016.33.90.46</v>
      </c>
      <c r="W159" s="2" t="str">
        <f ca="1">IFERROR(__xludf.DUMMYFUNCTION("""COMPUTED_VALUE"""),"103")</f>
        <v>103</v>
      </c>
      <c r="X159" s="2"/>
      <c r="Y159" s="2"/>
      <c r="Z159" s="2"/>
      <c r="AA159" s="2"/>
      <c r="AB159" s="2"/>
      <c r="AC159" s="2"/>
      <c r="AD159" s="2"/>
      <c r="AE159" s="2"/>
      <c r="AF159" s="2"/>
    </row>
    <row r="160" spans="1:32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>
        <f ca="1">IFERROR(__xludf.DUMMYFUNCTION("""COMPUTED_VALUE"""),2023)</f>
        <v>2023</v>
      </c>
      <c r="Q160" s="2" t="str">
        <f ca="1">IFERROR(__xludf.DUMMYFUNCTION("""COMPUTED_VALUE"""),"0195")</f>
        <v>0195</v>
      </c>
      <c r="R160" s="2" t="str">
        <f ca="1">IFERROR(__xludf.DUMMYFUNCTION("""COMPUTED_VALUE"""),"05.001.0012.0361.0074.6018.33.90.30")</f>
        <v>05.001.0012.0361.0074.6018.33.90.30</v>
      </c>
      <c r="S160" s="2" t="str">
        <f ca="1">IFERROR(__xludf.DUMMYFUNCTION("""COMPUTED_VALUE"""),"00104")</f>
        <v>00104</v>
      </c>
      <c r="T160" s="2">
        <f ca="1">IFERROR(__xludf.DUMMYFUNCTION("""COMPUTED_VALUE"""),2024)</f>
        <v>2024</v>
      </c>
      <c r="U160" s="2" t="str">
        <f ca="1">IFERROR(__xludf.DUMMYFUNCTION("""COMPUTED_VALUE"""),"0203")</f>
        <v>0203</v>
      </c>
      <c r="V160" s="2" t="str">
        <f ca="1">IFERROR(__xludf.DUMMYFUNCTION("""COMPUTED_VALUE"""),"05.004.0012.0366.0074.2058.31.90.11")</f>
        <v>05.004.0012.0366.0074.2058.31.90.11</v>
      </c>
      <c r="W160" s="2" t="str">
        <f ca="1">IFERROR(__xludf.DUMMYFUNCTION("""COMPUTED_VALUE"""),"103")</f>
        <v>103</v>
      </c>
      <c r="X160" s="2"/>
      <c r="Y160" s="2"/>
      <c r="Z160" s="2"/>
      <c r="AA160" s="2"/>
      <c r="AB160" s="2"/>
      <c r="AC160" s="2"/>
      <c r="AD160" s="2"/>
      <c r="AE160" s="2"/>
      <c r="AF160" s="2"/>
    </row>
    <row r="161" spans="1:32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>
        <f ca="1">IFERROR(__xludf.DUMMYFUNCTION("""COMPUTED_VALUE"""),2023)</f>
        <v>2023</v>
      </c>
      <c r="Q161" s="2" t="str">
        <f ca="1">IFERROR(__xludf.DUMMYFUNCTION("""COMPUTED_VALUE"""),"0196")</f>
        <v>0196</v>
      </c>
      <c r="R161" s="2" t="str">
        <f ca="1">IFERROR(__xludf.DUMMYFUNCTION("""COMPUTED_VALUE"""),"05.001.0012.0361.0074.6018.33.90.30")</f>
        <v>05.001.0012.0361.0074.6018.33.90.30</v>
      </c>
      <c r="S161" s="2" t="str">
        <f ca="1">IFERROR(__xludf.DUMMYFUNCTION("""COMPUTED_VALUE"""),"10440")</f>
        <v>10440</v>
      </c>
      <c r="T161" s="2">
        <f ca="1">IFERROR(__xludf.DUMMYFUNCTION("""COMPUTED_VALUE"""),2024)</f>
        <v>2024</v>
      </c>
      <c r="U161" s="2" t="str">
        <f ca="1">IFERROR(__xludf.DUMMYFUNCTION("""COMPUTED_VALUE"""),"0204")</f>
        <v>0204</v>
      </c>
      <c r="V161" s="2" t="str">
        <f ca="1">IFERROR(__xludf.DUMMYFUNCTION("""COMPUTED_VALUE"""),"05.004.0012.0366.0074.2058.31.91.13")</f>
        <v>05.004.0012.0366.0074.2058.31.91.13</v>
      </c>
      <c r="W161" s="2" t="str">
        <f ca="1">IFERROR(__xludf.DUMMYFUNCTION("""COMPUTED_VALUE"""),"101")</f>
        <v>101</v>
      </c>
      <c r="X161" s="2"/>
      <c r="Y161" s="2"/>
      <c r="Z161" s="2"/>
      <c r="AA161" s="2"/>
      <c r="AB161" s="2"/>
      <c r="AC161" s="2"/>
      <c r="AD161" s="2"/>
      <c r="AE161" s="2"/>
      <c r="AF161" s="2"/>
    </row>
    <row r="162" spans="1:3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>
        <f ca="1">IFERROR(__xludf.DUMMYFUNCTION("""COMPUTED_VALUE"""),2023)</f>
        <v>2023</v>
      </c>
      <c r="Q162" s="2" t="str">
        <f ca="1">IFERROR(__xludf.DUMMYFUNCTION("""COMPUTED_VALUE"""),"0197")</f>
        <v>0197</v>
      </c>
      <c r="R162" s="2" t="str">
        <f ca="1">IFERROR(__xludf.DUMMYFUNCTION("""COMPUTED_VALUE"""),"11.002.0013.0392.0082.2009.33.90.30")</f>
        <v>11.002.0013.0392.0082.2009.33.90.30</v>
      </c>
      <c r="S162" s="2" t="str">
        <f ca="1">IFERROR(__xludf.DUMMYFUNCTION("""COMPUTED_VALUE"""),"0000")</f>
        <v>0000</v>
      </c>
      <c r="T162" s="2">
        <f ca="1">IFERROR(__xludf.DUMMYFUNCTION("""COMPUTED_VALUE"""),2024)</f>
        <v>2024</v>
      </c>
      <c r="U162" s="2" t="str">
        <f ca="1">IFERROR(__xludf.DUMMYFUNCTION("""COMPUTED_VALUE"""),"0205")</f>
        <v>0205</v>
      </c>
      <c r="V162" s="2" t="str">
        <f ca="1">IFERROR(__xludf.DUMMYFUNCTION("""COMPUTED_VALUE"""),"05.004.0012.0367.0074.6008.31.90.11")</f>
        <v>05.004.0012.0367.0074.6008.31.90.11</v>
      </c>
      <c r="W162" s="2" t="str">
        <f ca="1">IFERROR(__xludf.DUMMYFUNCTION("""COMPUTED_VALUE"""),"101")</f>
        <v>101</v>
      </c>
      <c r="X162" s="2"/>
      <c r="Y162" s="2"/>
      <c r="Z162" s="2"/>
      <c r="AA162" s="2"/>
      <c r="AB162" s="2"/>
      <c r="AC162" s="2"/>
      <c r="AD162" s="2"/>
      <c r="AE162" s="2"/>
      <c r="AF162" s="2"/>
    </row>
    <row r="163" spans="1:32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>
        <f ca="1">IFERROR(__xludf.DUMMYFUNCTION("""COMPUTED_VALUE"""),2023)</f>
        <v>2023</v>
      </c>
      <c r="Q163" s="2" t="str">
        <f ca="1">IFERROR(__xludf.DUMMYFUNCTION("""COMPUTED_VALUE"""),"0198")</f>
        <v>0198</v>
      </c>
      <c r="R163" s="2" t="str">
        <f ca="1">IFERROR(__xludf.DUMMYFUNCTION("""COMPUTED_VALUE"""),"11.002.0013.0392.0082.2010.33.90.30")</f>
        <v>11.002.0013.0392.0082.2010.33.90.30</v>
      </c>
      <c r="S163" s="2" t="str">
        <f ca="1">IFERROR(__xludf.DUMMYFUNCTION("""COMPUTED_VALUE"""),"0000")</f>
        <v>0000</v>
      </c>
      <c r="T163" s="2">
        <f ca="1">IFERROR(__xludf.DUMMYFUNCTION("""COMPUTED_VALUE"""),2024)</f>
        <v>2024</v>
      </c>
      <c r="U163" s="2" t="str">
        <f ca="1">IFERROR(__xludf.DUMMYFUNCTION("""COMPUTED_VALUE"""),"0206")</f>
        <v>0206</v>
      </c>
      <c r="V163" s="2" t="str">
        <f ca="1">IFERROR(__xludf.DUMMYFUNCTION("""COMPUTED_VALUE"""),"05.004.0012.0367.0074.6008.31.90.11")</f>
        <v>05.004.0012.0367.0074.6008.31.90.11</v>
      </c>
      <c r="W163" s="2" t="str">
        <f ca="1">IFERROR(__xludf.DUMMYFUNCTION("""COMPUTED_VALUE"""),"101")</f>
        <v>101</v>
      </c>
      <c r="X163" s="2"/>
      <c r="Y163" s="2"/>
      <c r="Z163" s="2"/>
      <c r="AA163" s="2"/>
      <c r="AB163" s="2"/>
      <c r="AC163" s="2"/>
      <c r="AD163" s="2"/>
      <c r="AE163" s="2"/>
      <c r="AF163" s="2"/>
    </row>
    <row r="164" spans="1:32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>
        <f ca="1">IFERROR(__xludf.DUMMYFUNCTION("""COMPUTED_VALUE"""),2023)</f>
        <v>2023</v>
      </c>
      <c r="Q164" s="2" t="str">
        <f ca="1">IFERROR(__xludf.DUMMYFUNCTION("""COMPUTED_VALUE"""),"0199")</f>
        <v>0199</v>
      </c>
      <c r="R164" s="2" t="str">
        <f ca="1">IFERROR(__xludf.DUMMYFUNCTION("""COMPUTED_VALUE"""),"11.002.0013.0391.0082.2011.33.90.30")</f>
        <v>11.002.0013.0391.0082.2011.33.90.30</v>
      </c>
      <c r="S164" s="2" t="str">
        <f ca="1">IFERROR(__xludf.DUMMYFUNCTION("""COMPUTED_VALUE"""),"0000")</f>
        <v>0000</v>
      </c>
      <c r="T164" s="2">
        <f ca="1">IFERROR(__xludf.DUMMYFUNCTION("""COMPUTED_VALUE"""),2024)</f>
        <v>2024</v>
      </c>
      <c r="U164" s="2" t="str">
        <f ca="1">IFERROR(__xludf.DUMMYFUNCTION("""COMPUTED_VALUE"""),"0208")</f>
        <v>0208</v>
      </c>
      <c r="V164" s="2" t="str">
        <f ca="1">IFERROR(__xludf.DUMMYFUNCTION("""COMPUTED_VALUE"""),"05.004.0012.0367.0074.6008.31.91.13")</f>
        <v>05.004.0012.0367.0074.6008.31.91.13</v>
      </c>
      <c r="W164" s="2" t="str">
        <f ca="1">IFERROR(__xludf.DUMMYFUNCTION("""COMPUTED_VALUE"""),"104")</f>
        <v>104</v>
      </c>
      <c r="X164" s="2"/>
      <c r="Y164" s="2"/>
      <c r="Z164" s="2"/>
      <c r="AA164" s="2"/>
      <c r="AB164" s="2"/>
      <c r="AC164" s="2"/>
      <c r="AD164" s="2"/>
      <c r="AE164" s="2"/>
      <c r="AF164" s="2"/>
    </row>
    <row r="165" spans="1:32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>
        <f ca="1">IFERROR(__xludf.DUMMYFUNCTION("""COMPUTED_VALUE"""),2023)</f>
        <v>2023</v>
      </c>
      <c r="Q165" s="2" t="str">
        <f ca="1">IFERROR(__xludf.DUMMYFUNCTION("""COMPUTED_VALUE"""),"0200")</f>
        <v>0200</v>
      </c>
      <c r="R165" s="2" t="str">
        <f ca="1">IFERROR(__xludf.DUMMYFUNCTION("""COMPUTED_VALUE"""),"11.002.0013.0392.0082.2012.33.90.30")</f>
        <v>11.002.0013.0392.0082.2012.33.90.30</v>
      </c>
      <c r="S165" s="2" t="str">
        <f ca="1">IFERROR(__xludf.DUMMYFUNCTION("""COMPUTED_VALUE"""),"0000")</f>
        <v>0000</v>
      </c>
      <c r="T165" s="2">
        <f ca="1">IFERROR(__xludf.DUMMYFUNCTION("""COMPUTED_VALUE"""),2024)</f>
        <v>2024</v>
      </c>
      <c r="U165" s="2" t="str">
        <f ca="1">IFERROR(__xludf.DUMMYFUNCTION("""COMPUTED_VALUE"""),"0207")</f>
        <v>0207</v>
      </c>
      <c r="V165" s="2" t="str">
        <f ca="1">IFERROR(__xludf.DUMMYFUNCTION("""COMPUTED_VALUE"""),"05.004.0012.0367.0074.6008.31.91.13")</f>
        <v>05.004.0012.0367.0074.6008.31.91.13</v>
      </c>
      <c r="W165" s="2" t="str">
        <f ca="1">IFERROR(__xludf.DUMMYFUNCTION("""COMPUTED_VALUE"""),"101")</f>
        <v>101</v>
      </c>
      <c r="X165" s="2"/>
      <c r="Y165" s="2"/>
      <c r="Z165" s="2"/>
      <c r="AA165" s="2"/>
      <c r="AB165" s="2"/>
      <c r="AC165" s="2"/>
      <c r="AD165" s="2"/>
      <c r="AE165" s="2"/>
      <c r="AF165" s="2"/>
    </row>
    <row r="166" spans="1:32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>
        <f ca="1">IFERROR(__xludf.DUMMYFUNCTION("""COMPUTED_VALUE"""),2023)</f>
        <v>2023</v>
      </c>
      <c r="Q166" s="2" t="str">
        <f ca="1">IFERROR(__xludf.DUMMYFUNCTION("""COMPUTED_VALUE"""),"0201")</f>
        <v>0201</v>
      </c>
      <c r="R166" s="2" t="str">
        <f ca="1">IFERROR(__xludf.DUMMYFUNCTION("""COMPUTED_VALUE"""),"11.002.0013.0243.0082.6003.33.90.30")</f>
        <v>11.002.0013.0243.0082.6003.33.90.30</v>
      </c>
      <c r="S166" s="2" t="str">
        <f ca="1">IFERROR(__xludf.DUMMYFUNCTION("""COMPUTED_VALUE"""),"0000")</f>
        <v>0000</v>
      </c>
      <c r="T166" s="2">
        <f ca="1">IFERROR(__xludf.DUMMYFUNCTION("""COMPUTED_VALUE"""),2024)</f>
        <v>2024</v>
      </c>
      <c r="U166" s="2" t="str">
        <f ca="1">IFERROR(__xludf.DUMMYFUNCTION("""COMPUTED_VALUE"""),"0209")</f>
        <v>0209</v>
      </c>
      <c r="V166" s="2" t="str">
        <f ca="1">IFERROR(__xludf.DUMMYFUNCTION("""COMPUTED_VALUE"""),"05.005.0004.0122.0074.2151.33.90.30")</f>
        <v>05.005.0004.0122.0074.2151.33.90.30</v>
      </c>
      <c r="W166" s="2" t="str">
        <f ca="1">IFERROR(__xludf.DUMMYFUNCTION("""COMPUTED_VALUE"""),"104")</f>
        <v>104</v>
      </c>
      <c r="X166" s="2"/>
      <c r="Y166" s="2"/>
      <c r="Z166" s="2"/>
      <c r="AA166" s="2"/>
      <c r="AB166" s="2"/>
      <c r="AC166" s="2"/>
      <c r="AD166" s="2"/>
      <c r="AE166" s="2"/>
      <c r="AF166" s="2"/>
    </row>
    <row r="167" spans="1:32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>
        <f ca="1">IFERROR(__xludf.DUMMYFUNCTION("""COMPUTED_VALUE"""),2023)</f>
        <v>2023</v>
      </c>
      <c r="Q167" s="2" t="str">
        <f ca="1">IFERROR(__xludf.DUMMYFUNCTION("""COMPUTED_VALUE"""),"0202")</f>
        <v>0202</v>
      </c>
      <c r="R167" s="2" t="str">
        <f ca="1">IFERROR(__xludf.DUMMYFUNCTION("""COMPUTED_VALUE"""),"11.003.0027.0811.0083.2013.33.90.30")</f>
        <v>11.003.0027.0811.0083.2013.33.90.30</v>
      </c>
      <c r="S167" s="2" t="str">
        <f ca="1">IFERROR(__xludf.DUMMYFUNCTION("""COMPUTED_VALUE"""),"0000")</f>
        <v>0000</v>
      </c>
      <c r="T167" s="2">
        <f ca="1">IFERROR(__xludf.DUMMYFUNCTION("""COMPUTED_VALUE"""),2024)</f>
        <v>2024</v>
      </c>
      <c r="U167" s="2" t="str">
        <f ca="1">IFERROR(__xludf.DUMMYFUNCTION("""COMPUTED_VALUE"""),"0210")</f>
        <v>0210</v>
      </c>
      <c r="V167" s="2" t="str">
        <f ca="1">IFERROR(__xludf.DUMMYFUNCTION("""COMPUTED_VALUE"""),"05.005.0004.0122.0074.2151.33.90.39")</f>
        <v>05.005.0004.0122.0074.2151.33.90.39</v>
      </c>
      <c r="W167" s="2" t="str">
        <f ca="1">IFERROR(__xludf.DUMMYFUNCTION("""COMPUTED_VALUE"""),"0")</f>
        <v>0</v>
      </c>
      <c r="X167" s="2"/>
      <c r="Y167" s="2"/>
      <c r="Z167" s="2"/>
      <c r="AA167" s="2"/>
      <c r="AB167" s="2"/>
      <c r="AC167" s="2"/>
      <c r="AD167" s="2"/>
      <c r="AE167" s="2"/>
      <c r="AF167" s="2"/>
    </row>
    <row r="168" spans="1:32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>
        <f ca="1">IFERROR(__xludf.DUMMYFUNCTION("""COMPUTED_VALUE"""),2023)</f>
        <v>2023</v>
      </c>
      <c r="Q168" s="2" t="str">
        <f ca="1">IFERROR(__xludf.DUMMYFUNCTION("""COMPUTED_VALUE"""),"0203")</f>
        <v>0203</v>
      </c>
      <c r="R168" s="2" t="str">
        <f ca="1">IFERROR(__xludf.DUMMYFUNCTION("""COMPUTED_VALUE"""),"11.003.0027.0243.0083.6004.33.90.30")</f>
        <v>11.003.0027.0243.0083.6004.33.90.30</v>
      </c>
      <c r="S168" s="2" t="str">
        <f ca="1">IFERROR(__xludf.DUMMYFUNCTION("""COMPUTED_VALUE"""),"0000")</f>
        <v>0000</v>
      </c>
      <c r="T168" s="2">
        <f ca="1">IFERROR(__xludf.DUMMYFUNCTION("""COMPUTED_VALUE"""),2024)</f>
        <v>2024</v>
      </c>
      <c r="U168" s="2" t="str">
        <f ca="1">IFERROR(__xludf.DUMMYFUNCTION("""COMPUTED_VALUE"""),"1196")</f>
        <v>1196</v>
      </c>
      <c r="V168" s="2" t="str">
        <f ca="1">IFERROR(__xludf.DUMMYFUNCTION("""COMPUTED_VALUE"""),"06.001.0010.0243.0094.6002.33.72.39")</f>
        <v>06.001.0010.0243.0094.6002.33.72.39</v>
      </c>
      <c r="W168" s="2" t="str">
        <f ca="1">IFERROR(__xludf.DUMMYFUNCTION("""COMPUTED_VALUE"""),"0")</f>
        <v>0</v>
      </c>
      <c r="X168" s="2"/>
      <c r="Y168" s="2"/>
      <c r="Z168" s="2"/>
      <c r="AA168" s="2"/>
      <c r="AB168" s="2"/>
      <c r="AC168" s="2"/>
      <c r="AD168" s="2"/>
      <c r="AE168" s="2"/>
      <c r="AF168" s="2"/>
    </row>
    <row r="169" spans="1:32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>
        <f ca="1">IFERROR(__xludf.DUMMYFUNCTION("""COMPUTED_VALUE"""),2023)</f>
        <v>2023</v>
      </c>
      <c r="Q169" s="2" t="str">
        <f ca="1">IFERROR(__xludf.DUMMYFUNCTION("""COMPUTED_VALUE"""),"0204")</f>
        <v>0204</v>
      </c>
      <c r="R169" s="2" t="str">
        <f ca="1">IFERROR(__xludf.DUMMYFUNCTION("""COMPUTED_VALUE"""),"06.001.0010.0301.0094.2037.33.90.30")</f>
        <v>06.001.0010.0301.0094.2037.33.90.30</v>
      </c>
      <c r="S169" s="2" t="str">
        <f ca="1">IFERROR(__xludf.DUMMYFUNCTION("""COMPUTED_VALUE"""),"00303")</f>
        <v>00303</v>
      </c>
      <c r="T169" s="2">
        <f ca="1">IFERROR(__xludf.DUMMYFUNCTION("""COMPUTED_VALUE"""),2024)</f>
        <v>2024</v>
      </c>
      <c r="U169" s="2" t="str">
        <f ca="1">IFERROR(__xludf.DUMMYFUNCTION("""COMPUTED_VALUE"""),"0220")</f>
        <v>0220</v>
      </c>
      <c r="V169" s="2" t="str">
        <f ca="1">IFERROR(__xludf.DUMMYFUNCTION("""COMPUTED_VALUE"""),"06.001.0010.0243.0094.6002.33.90.39")</f>
        <v>06.001.0010.0243.0094.6002.33.90.39</v>
      </c>
      <c r="W169" s="2" t="str">
        <f ca="1">IFERROR(__xludf.DUMMYFUNCTION("""COMPUTED_VALUE"""),"303")</f>
        <v>303</v>
      </c>
      <c r="X169" s="2"/>
      <c r="Y169" s="2"/>
      <c r="Z169" s="2"/>
      <c r="AA169" s="2"/>
      <c r="AB169" s="2"/>
      <c r="AC169" s="2"/>
      <c r="AD169" s="2"/>
      <c r="AE169" s="2"/>
      <c r="AF169" s="2"/>
    </row>
    <row r="170" spans="1:32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>
        <f ca="1">IFERROR(__xludf.DUMMYFUNCTION("""COMPUTED_VALUE"""),2023)</f>
        <v>2023</v>
      </c>
      <c r="Q170" s="2" t="str">
        <f ca="1">IFERROR(__xludf.DUMMYFUNCTION("""COMPUTED_VALUE"""),"0205")</f>
        <v>0205</v>
      </c>
      <c r="R170" s="2" t="str">
        <f ca="1">IFERROR(__xludf.DUMMYFUNCTION("""COMPUTED_VALUE"""),"06.001.0010.0301.0094.2038.33.90.30")</f>
        <v>06.001.0010.0301.0094.2038.33.90.30</v>
      </c>
      <c r="S170" s="2" t="str">
        <f ca="1">IFERROR(__xludf.DUMMYFUNCTION("""COMPUTED_VALUE"""),"00303")</f>
        <v>00303</v>
      </c>
      <c r="T170" s="2">
        <f ca="1">IFERROR(__xludf.DUMMYFUNCTION("""COMPUTED_VALUE"""),2024)</f>
        <v>2024</v>
      </c>
      <c r="U170" s="2" t="str">
        <f ca="1">IFERROR(__xludf.DUMMYFUNCTION("""COMPUTED_VALUE"""),"0221")</f>
        <v>0221</v>
      </c>
      <c r="V170" s="2" t="str">
        <f ca="1">IFERROR(__xludf.DUMMYFUNCTION("""COMPUTED_VALUE"""),"06.001.0010.0301.0094.1015.44.90.52")</f>
        <v>06.001.0010.0301.0094.1015.44.90.52</v>
      </c>
      <c r="W170" s="2" t="str">
        <f ca="1">IFERROR(__xludf.DUMMYFUNCTION("""COMPUTED_VALUE"""),"303")</f>
        <v>303</v>
      </c>
      <c r="X170" s="2"/>
      <c r="Y170" s="2"/>
      <c r="Z170" s="2"/>
      <c r="AA170" s="2"/>
      <c r="AB170" s="2"/>
      <c r="AC170" s="2"/>
      <c r="AD170" s="2"/>
      <c r="AE170" s="2"/>
      <c r="AF170" s="2"/>
    </row>
    <row r="171" spans="1:32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>
        <f ca="1">IFERROR(__xludf.DUMMYFUNCTION("""COMPUTED_VALUE"""),2023)</f>
        <v>2023</v>
      </c>
      <c r="Q171" s="2" t="str">
        <f ca="1">IFERROR(__xludf.DUMMYFUNCTION("""COMPUTED_VALUE"""),"0208")</f>
        <v>0208</v>
      </c>
      <c r="R171" s="2" t="str">
        <f ca="1">IFERROR(__xludf.DUMMYFUNCTION("""COMPUTED_VALUE"""),"06.001.0010.0301.0094.2039.33.90.30")</f>
        <v>06.001.0010.0301.0094.2039.33.90.30</v>
      </c>
      <c r="S171" s="2" t="str">
        <f ca="1">IFERROR(__xludf.DUMMYFUNCTION("""COMPUTED_VALUE"""),"00303")</f>
        <v>00303</v>
      </c>
      <c r="T171" s="2">
        <f ca="1">IFERROR(__xludf.DUMMYFUNCTION("""COMPUTED_VALUE"""),2024)</f>
        <v>2024</v>
      </c>
      <c r="U171" s="2" t="str">
        <f ca="1">IFERROR(__xludf.DUMMYFUNCTION("""COMPUTED_VALUE"""),"0224")</f>
        <v>0224</v>
      </c>
      <c r="V171" s="2" t="str">
        <f ca="1">IFERROR(__xludf.DUMMYFUNCTION("""COMPUTED_VALUE"""),"06.001.0010.0301.0094.1015.44.90.52")</f>
        <v>06.001.0010.0301.0094.1015.44.90.52</v>
      </c>
      <c r="W171" s="2" t="str">
        <f ca="1">IFERROR(__xludf.DUMMYFUNCTION("""COMPUTED_VALUE"""),"303")</f>
        <v>303</v>
      </c>
      <c r="X171" s="2"/>
      <c r="Y171" s="2"/>
      <c r="Z171" s="2"/>
      <c r="AA171" s="2"/>
      <c r="AB171" s="2"/>
      <c r="AC171" s="2"/>
      <c r="AD171" s="2"/>
      <c r="AE171" s="2"/>
      <c r="AF171" s="2"/>
    </row>
    <row r="172" spans="1:3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>
        <f ca="1">IFERROR(__xludf.DUMMYFUNCTION("""COMPUTED_VALUE"""),2023)</f>
        <v>2023</v>
      </c>
      <c r="Q172" s="2" t="str">
        <f ca="1">IFERROR(__xludf.DUMMYFUNCTION("""COMPUTED_VALUE"""),"0210")</f>
        <v>0210</v>
      </c>
      <c r="R172" s="2" t="str">
        <f ca="1">IFERROR(__xludf.DUMMYFUNCTION("""COMPUTED_VALUE"""),"06.001.0010.0301.0094.2039.33.90.30")</f>
        <v>06.001.0010.0301.0094.2039.33.90.30</v>
      </c>
      <c r="S172" s="2" t="str">
        <f ca="1">IFERROR(__xludf.DUMMYFUNCTION("""COMPUTED_VALUE"""),"04941")</f>
        <v>04941</v>
      </c>
      <c r="T172" s="2">
        <f ca="1">IFERROR(__xludf.DUMMYFUNCTION("""COMPUTED_VALUE"""),2024)</f>
        <v>2024</v>
      </c>
      <c r="U172" s="2" t="str">
        <f ca="1">IFERROR(__xludf.DUMMYFUNCTION("""COMPUTED_VALUE"""),"0228")</f>
        <v>0228</v>
      </c>
      <c r="V172" s="2" t="str">
        <f ca="1">IFERROR(__xludf.DUMMYFUNCTION("""COMPUTED_VALUE"""),"06.001.0010.0301.0094.1015.44.90.52")</f>
        <v>06.001.0010.0301.0094.1015.44.90.52</v>
      </c>
      <c r="W172" s="2" t="str">
        <f ca="1">IFERROR(__xludf.DUMMYFUNCTION("""COMPUTED_VALUE"""),"5181")</f>
        <v>5181</v>
      </c>
      <c r="X172" s="2"/>
      <c r="Y172" s="2"/>
      <c r="Z172" s="2"/>
      <c r="AA172" s="2"/>
      <c r="AB172" s="2"/>
      <c r="AC172" s="2"/>
      <c r="AD172" s="2"/>
      <c r="AE172" s="2"/>
      <c r="AF172" s="2"/>
    </row>
    <row r="173" spans="1:32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>
        <f ca="1">IFERROR(__xludf.DUMMYFUNCTION("""COMPUTED_VALUE"""),2023)</f>
        <v>2023</v>
      </c>
      <c r="Q173" s="2" t="str">
        <f ca="1">IFERROR(__xludf.DUMMYFUNCTION("""COMPUTED_VALUE"""),"0211")</f>
        <v>0211</v>
      </c>
      <c r="R173" s="2" t="str">
        <f ca="1">IFERROR(__xludf.DUMMYFUNCTION("""COMPUTED_VALUE"""),"06.001.0010.0301.0094.2039.33.90.30")</f>
        <v>06.001.0010.0301.0094.2039.33.90.30</v>
      </c>
      <c r="S173" s="2" t="str">
        <f ca="1">IFERROR(__xludf.DUMMYFUNCTION("""COMPUTED_VALUE"""),"04942")</f>
        <v>04942</v>
      </c>
      <c r="T173" s="2">
        <f ca="1">IFERROR(__xludf.DUMMYFUNCTION("""COMPUTED_VALUE"""),2024)</f>
        <v>2024</v>
      </c>
      <c r="U173" s="2" t="str">
        <f ca="1">IFERROR(__xludf.DUMMYFUNCTION("""COMPUTED_VALUE"""),"0229")</f>
        <v>0229</v>
      </c>
      <c r="V173" s="2" t="str">
        <f ca="1">IFERROR(__xludf.DUMMYFUNCTION("""COMPUTED_VALUE"""),"06.001.0010.0301.0094.1015.44.90.93")</f>
        <v>06.001.0010.0301.0094.1015.44.90.93</v>
      </c>
      <c r="W173" s="2" t="str">
        <f ca="1">IFERROR(__xludf.DUMMYFUNCTION("""COMPUTED_VALUE"""),"5182")</f>
        <v>5182</v>
      </c>
      <c r="X173" s="2"/>
      <c r="Y173" s="2"/>
      <c r="Z173" s="2"/>
      <c r="AA173" s="2"/>
      <c r="AB173" s="2"/>
      <c r="AC173" s="2"/>
      <c r="AD173" s="2"/>
      <c r="AE173" s="2"/>
      <c r="AF173" s="2"/>
    </row>
    <row r="174" spans="1:32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>
        <f ca="1">IFERROR(__xludf.DUMMYFUNCTION("""COMPUTED_VALUE"""),2023)</f>
        <v>2023</v>
      </c>
      <c r="Q174" s="2" t="str">
        <f ca="1">IFERROR(__xludf.DUMMYFUNCTION("""COMPUTED_VALUE"""),"0212")</f>
        <v>0212</v>
      </c>
      <c r="R174" s="2" t="str">
        <f ca="1">IFERROR(__xludf.DUMMYFUNCTION("""COMPUTED_VALUE"""),"06.001.0010.0305.0094.2040.33.90.30")</f>
        <v>06.001.0010.0305.0094.2040.33.90.30</v>
      </c>
      <c r="S174" s="2" t="str">
        <f ca="1">IFERROR(__xludf.DUMMYFUNCTION("""COMPUTED_VALUE"""),"00303")</f>
        <v>00303</v>
      </c>
      <c r="T174" s="2">
        <f ca="1">IFERROR(__xludf.DUMMYFUNCTION("""COMPUTED_VALUE"""),2024)</f>
        <v>2024</v>
      </c>
      <c r="U174" s="2" t="str">
        <f ca="1">IFERROR(__xludf.DUMMYFUNCTION("""COMPUTED_VALUE"""),"0225")</f>
        <v>0225</v>
      </c>
      <c r="V174" s="2" t="str">
        <f ca="1">IFERROR(__xludf.DUMMYFUNCTION("""COMPUTED_VALUE"""),"06.001.0010.0301.0094.1019.44.90.30")</f>
        <v>06.001.0010.0301.0094.1019.44.90.30</v>
      </c>
      <c r="W174" s="2" t="str">
        <f ca="1">IFERROR(__xludf.DUMMYFUNCTION("""COMPUTED_VALUE"""),"303")</f>
        <v>303</v>
      </c>
      <c r="X174" s="2"/>
      <c r="Y174" s="2"/>
      <c r="Z174" s="2"/>
      <c r="AA174" s="2"/>
      <c r="AB174" s="2"/>
      <c r="AC174" s="2"/>
      <c r="AD174" s="2"/>
      <c r="AE174" s="2"/>
      <c r="AF174" s="2"/>
    </row>
    <row r="175" spans="1:32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>
        <f ca="1">IFERROR(__xludf.DUMMYFUNCTION("""COMPUTED_VALUE"""),2023)</f>
        <v>2023</v>
      </c>
      <c r="Q175" s="2" t="str">
        <f ca="1">IFERROR(__xludf.DUMMYFUNCTION("""COMPUTED_VALUE"""),"0213")</f>
        <v>0213</v>
      </c>
      <c r="R175" s="2" t="str">
        <f ca="1">IFERROR(__xludf.DUMMYFUNCTION("""COMPUTED_VALUE"""),"06.001.0010.0305.0094.2040.33.90.30")</f>
        <v>06.001.0010.0305.0094.2040.33.90.30</v>
      </c>
      <c r="S175" s="2" t="str">
        <f ca="1">IFERROR(__xludf.DUMMYFUNCTION("""COMPUTED_VALUE"""),"04942")</f>
        <v>04942</v>
      </c>
      <c r="T175" s="2">
        <f ca="1">IFERROR(__xludf.DUMMYFUNCTION("""COMPUTED_VALUE"""),2024)</f>
        <v>2024</v>
      </c>
      <c r="U175" s="2" t="str">
        <f ca="1">IFERROR(__xludf.DUMMYFUNCTION("""COMPUTED_VALUE"""),"0230")</f>
        <v>0230</v>
      </c>
      <c r="V175" s="2" t="str">
        <f ca="1">IFERROR(__xludf.DUMMYFUNCTION("""COMPUTED_VALUE"""),"06.001.0010.0301.0094.1019.44.90.39")</f>
        <v>06.001.0010.0301.0094.1019.44.90.39</v>
      </c>
      <c r="W175" s="2" t="str">
        <f ca="1">IFERROR(__xludf.DUMMYFUNCTION("""COMPUTED_VALUE"""),"303")</f>
        <v>303</v>
      </c>
      <c r="X175" s="2"/>
      <c r="Y175" s="2"/>
      <c r="Z175" s="2"/>
      <c r="AA175" s="2"/>
      <c r="AB175" s="2"/>
      <c r="AC175" s="2"/>
      <c r="AD175" s="2"/>
      <c r="AE175" s="2"/>
      <c r="AF175" s="2"/>
    </row>
    <row r="176" spans="1:32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>
        <f ca="1">IFERROR(__xludf.DUMMYFUNCTION("""COMPUTED_VALUE"""),2023)</f>
        <v>2023</v>
      </c>
      <c r="Q176" s="2" t="str">
        <f ca="1">IFERROR(__xludf.DUMMYFUNCTION("""COMPUTED_VALUE"""),"0214")</f>
        <v>0214</v>
      </c>
      <c r="R176" s="2" t="str">
        <f ca="1">IFERROR(__xludf.DUMMYFUNCTION("""COMPUTED_VALUE"""),"06.001.0010.0302.0094.2041.33.90.30")</f>
        <v>06.001.0010.0302.0094.2041.33.90.30</v>
      </c>
      <c r="S176" s="2" t="str">
        <f ca="1">IFERROR(__xludf.DUMMYFUNCTION("""COMPUTED_VALUE"""),"00303")</f>
        <v>00303</v>
      </c>
      <c r="T176" s="2">
        <f ca="1">IFERROR(__xludf.DUMMYFUNCTION("""COMPUTED_VALUE"""),2024)</f>
        <v>2024</v>
      </c>
      <c r="U176" s="2" t="str">
        <f ca="1">IFERROR(__xludf.DUMMYFUNCTION("""COMPUTED_VALUE"""),"0231")</f>
        <v>0231</v>
      </c>
      <c r="V176" s="2" t="str">
        <f ca="1">IFERROR(__xludf.DUMMYFUNCTION("""COMPUTED_VALUE"""),"06.001.0010.0301.0094.1019.44.90.52")</f>
        <v>06.001.0010.0301.0094.1019.44.90.52</v>
      </c>
      <c r="W176" s="2" t="str">
        <f ca="1">IFERROR(__xludf.DUMMYFUNCTION("""COMPUTED_VALUE"""),"303")</f>
        <v>303</v>
      </c>
      <c r="X176" s="2"/>
      <c r="Y176" s="2"/>
      <c r="Z176" s="2"/>
      <c r="AA176" s="2"/>
      <c r="AB176" s="2"/>
      <c r="AC176" s="2"/>
      <c r="AD176" s="2"/>
      <c r="AE176" s="2"/>
      <c r="AF176" s="2"/>
    </row>
    <row r="177" spans="1:32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>
        <f ca="1">IFERROR(__xludf.DUMMYFUNCTION("""COMPUTED_VALUE"""),2023)</f>
        <v>2023</v>
      </c>
      <c r="Q177" s="2" t="str">
        <f ca="1">IFERROR(__xludf.DUMMYFUNCTION("""COMPUTED_VALUE"""),"0215")</f>
        <v>0215</v>
      </c>
      <c r="R177" s="2" t="str">
        <f ca="1">IFERROR(__xludf.DUMMYFUNCTION("""COMPUTED_VALUE"""),"06.001.0010.0302.0094.2042.33.90.30")</f>
        <v>06.001.0010.0302.0094.2042.33.90.30</v>
      </c>
      <c r="S177" s="2" t="str">
        <f ca="1">IFERROR(__xludf.DUMMYFUNCTION("""COMPUTED_VALUE"""),"00303")</f>
        <v>00303</v>
      </c>
      <c r="T177" s="2">
        <f ca="1">IFERROR(__xludf.DUMMYFUNCTION("""COMPUTED_VALUE"""),2024)</f>
        <v>2024</v>
      </c>
      <c r="U177" s="2" t="str">
        <f ca="1">IFERROR(__xludf.DUMMYFUNCTION("""COMPUTED_VALUE"""),"0232")</f>
        <v>0232</v>
      </c>
      <c r="V177" s="2" t="str">
        <f ca="1">IFERROR(__xludf.DUMMYFUNCTION("""COMPUTED_VALUE"""),"06.001.0010.0301.0094.1023.44.90.51")</f>
        <v>06.001.0010.0301.0094.1023.44.90.51</v>
      </c>
      <c r="W177" s="2" t="str">
        <f ca="1">IFERROR(__xludf.DUMMYFUNCTION("""COMPUTED_VALUE"""),"303")</f>
        <v>303</v>
      </c>
      <c r="X177" s="2"/>
      <c r="Y177" s="2"/>
      <c r="Z177" s="2"/>
      <c r="AA177" s="2"/>
      <c r="AB177" s="2"/>
      <c r="AC177" s="2"/>
      <c r="AD177" s="2"/>
      <c r="AE177" s="2"/>
      <c r="AF177" s="2"/>
    </row>
    <row r="178" spans="1:32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>
        <f ca="1">IFERROR(__xludf.DUMMYFUNCTION("""COMPUTED_VALUE"""),2023)</f>
        <v>2023</v>
      </c>
      <c r="Q178" s="2" t="str">
        <f ca="1">IFERROR(__xludf.DUMMYFUNCTION("""COMPUTED_VALUE"""),"0216")</f>
        <v>0216</v>
      </c>
      <c r="R178" s="2" t="str">
        <f ca="1">IFERROR(__xludf.DUMMYFUNCTION("""COMPUTED_VALUE"""),"06.001.0010.0302.0094.2043.33.90.30")</f>
        <v>06.001.0010.0302.0094.2043.33.90.30</v>
      </c>
      <c r="S178" s="2" t="str">
        <f ca="1">IFERROR(__xludf.DUMMYFUNCTION("""COMPUTED_VALUE"""),"04942")</f>
        <v>04942</v>
      </c>
      <c r="T178" s="2">
        <f ca="1">IFERROR(__xludf.DUMMYFUNCTION("""COMPUTED_VALUE"""),2024)</f>
        <v>2024</v>
      </c>
      <c r="U178" s="2" t="str">
        <f ca="1">IFERROR(__xludf.DUMMYFUNCTION("""COMPUTED_VALUE"""),"0238")</f>
        <v>0238</v>
      </c>
      <c r="V178" s="2" t="str">
        <f ca="1">IFERROR(__xludf.DUMMYFUNCTION("""COMPUTED_VALUE"""),"06.001.0010.0301.0094.1023.44.90.93")</f>
        <v>06.001.0010.0301.0094.1023.44.90.93</v>
      </c>
      <c r="W178" s="2" t="str">
        <f ca="1">IFERROR(__xludf.DUMMYFUNCTION("""COMPUTED_VALUE"""),"303")</f>
        <v>303</v>
      </c>
      <c r="X178" s="2"/>
      <c r="Y178" s="2"/>
      <c r="Z178" s="2"/>
      <c r="AA178" s="2"/>
      <c r="AB178" s="2"/>
      <c r="AC178" s="2"/>
      <c r="AD178" s="2"/>
      <c r="AE178" s="2"/>
      <c r="AF178" s="2"/>
    </row>
    <row r="179" spans="1:32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>
        <f ca="1">IFERROR(__xludf.DUMMYFUNCTION("""COMPUTED_VALUE"""),2023)</f>
        <v>2023</v>
      </c>
      <c r="Q179" s="2" t="str">
        <f ca="1">IFERROR(__xludf.DUMMYFUNCTION("""COMPUTED_VALUE"""),"0217")</f>
        <v>0217</v>
      </c>
      <c r="R179" s="2" t="str">
        <f ca="1">IFERROR(__xludf.DUMMYFUNCTION("""COMPUTED_VALUE"""),"06.001.0010.0302.0094.2044.33.90.30")</f>
        <v>06.001.0010.0302.0094.2044.33.90.30</v>
      </c>
      <c r="S179" s="2" t="str">
        <f ca="1">IFERROR(__xludf.DUMMYFUNCTION("""COMPUTED_VALUE"""),"00303")</f>
        <v>00303</v>
      </c>
      <c r="T179" s="2">
        <f ca="1">IFERROR(__xludf.DUMMYFUNCTION("""COMPUTED_VALUE"""),2024)</f>
        <v>2024</v>
      </c>
      <c r="U179" s="2" t="str">
        <f ca="1">IFERROR(__xludf.DUMMYFUNCTION("""COMPUTED_VALUE"""),"0239")</f>
        <v>0239</v>
      </c>
      <c r="V179" s="2" t="str">
        <f ca="1">IFERROR(__xludf.DUMMYFUNCTION("""COMPUTED_VALUE"""),"06.001.0010.0301.0094.1025.44.90.51")</f>
        <v>06.001.0010.0301.0094.1025.44.90.51</v>
      </c>
      <c r="W179" s="2" t="str">
        <f ca="1">IFERROR(__xludf.DUMMYFUNCTION("""COMPUTED_VALUE"""),"303")</f>
        <v>303</v>
      </c>
      <c r="X179" s="2"/>
      <c r="Y179" s="2"/>
      <c r="Z179" s="2"/>
      <c r="AA179" s="2"/>
      <c r="AB179" s="2"/>
      <c r="AC179" s="2"/>
      <c r="AD179" s="2"/>
      <c r="AE179" s="2"/>
      <c r="AF179" s="2"/>
    </row>
    <row r="180" spans="1:32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>
        <f ca="1">IFERROR(__xludf.DUMMYFUNCTION("""COMPUTED_VALUE"""),2023)</f>
        <v>2023</v>
      </c>
      <c r="Q180" s="2" t="str">
        <f ca="1">IFERROR(__xludf.DUMMYFUNCTION("""COMPUTED_VALUE"""),"0218")</f>
        <v>0218</v>
      </c>
      <c r="R180" s="2" t="str">
        <f ca="1">IFERROR(__xludf.DUMMYFUNCTION("""COMPUTED_VALUE"""),"06.001.0010.0304.0094.2046.33.90.30")</f>
        <v>06.001.0010.0304.0094.2046.33.90.30</v>
      </c>
      <c r="S180" s="2" t="str">
        <f ca="1">IFERROR(__xludf.DUMMYFUNCTION("""COMPUTED_VALUE"""),"04942")</f>
        <v>04942</v>
      </c>
      <c r="T180" s="2">
        <f ca="1">IFERROR(__xludf.DUMMYFUNCTION("""COMPUTED_VALUE"""),2024)</f>
        <v>2024</v>
      </c>
      <c r="U180" s="2" t="str">
        <f ca="1">IFERROR(__xludf.DUMMYFUNCTION("""COMPUTED_VALUE"""),"0241")</f>
        <v>0241</v>
      </c>
      <c r="V180" s="2" t="str">
        <f ca="1">IFERROR(__xludf.DUMMYFUNCTION("""COMPUTED_VALUE"""),"06.001.0010.0301.0094.1055.44.90.51")</f>
        <v>06.001.0010.0301.0094.1055.44.90.51</v>
      </c>
      <c r="W180" s="2" t="str">
        <f ca="1">IFERROR(__xludf.DUMMYFUNCTION("""COMPUTED_VALUE"""),"303")</f>
        <v>303</v>
      </c>
      <c r="X180" s="2"/>
      <c r="Y180" s="2"/>
      <c r="Z180" s="2"/>
      <c r="AA180" s="2"/>
      <c r="AB180" s="2"/>
      <c r="AC180" s="2"/>
      <c r="AD180" s="2"/>
      <c r="AE180" s="2"/>
      <c r="AF180" s="2"/>
    </row>
    <row r="181" spans="1:32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>
        <f ca="1">IFERROR(__xludf.DUMMYFUNCTION("""COMPUTED_VALUE"""),2023)</f>
        <v>2023</v>
      </c>
      <c r="Q181" s="2" t="str">
        <f ca="1">IFERROR(__xludf.DUMMYFUNCTION("""COMPUTED_VALUE"""),"0219")</f>
        <v>0219</v>
      </c>
      <c r="R181" s="2" t="str">
        <f ca="1">IFERROR(__xludf.DUMMYFUNCTION("""COMPUTED_VALUE"""),"06.001.0010.0122.0094.2047.33.90.30")</f>
        <v>06.001.0010.0122.0094.2047.33.90.30</v>
      </c>
      <c r="S181" s="2" t="str">
        <f ca="1">IFERROR(__xludf.DUMMYFUNCTION("""COMPUTED_VALUE"""),"00303")</f>
        <v>00303</v>
      </c>
      <c r="T181" s="2">
        <f ca="1">IFERROR(__xludf.DUMMYFUNCTION("""COMPUTED_VALUE"""),2024)</f>
        <v>2024</v>
      </c>
      <c r="U181" s="2" t="str">
        <f ca="1">IFERROR(__xludf.DUMMYFUNCTION("""COMPUTED_VALUE"""),"0245")</f>
        <v>0245</v>
      </c>
      <c r="V181" s="2" t="str">
        <f ca="1">IFERROR(__xludf.DUMMYFUNCTION("""COMPUTED_VALUE"""),"06.001.0010.0301.0094.1071.44.71.70")</f>
        <v>06.001.0010.0301.0094.1071.44.71.70</v>
      </c>
      <c r="W181" s="2" t="str">
        <f ca="1">IFERROR(__xludf.DUMMYFUNCTION("""COMPUTED_VALUE"""),"303")</f>
        <v>303</v>
      </c>
      <c r="X181" s="2"/>
      <c r="Y181" s="2"/>
      <c r="Z181" s="2"/>
      <c r="AA181" s="2"/>
      <c r="AB181" s="2"/>
      <c r="AC181" s="2"/>
      <c r="AD181" s="2"/>
      <c r="AE181" s="2"/>
      <c r="AF181" s="2"/>
    </row>
    <row r="182" spans="1:3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>
        <f ca="1">IFERROR(__xludf.DUMMYFUNCTION("""COMPUTED_VALUE"""),2023)</f>
        <v>2023</v>
      </c>
      <c r="Q182" s="2" t="str">
        <f ca="1">IFERROR(__xludf.DUMMYFUNCTION("""COMPUTED_VALUE"""),"0222")</f>
        <v>0222</v>
      </c>
      <c r="R182" s="2" t="str">
        <f ca="1">IFERROR(__xludf.DUMMYFUNCTION("""COMPUTED_VALUE"""),"07.002.0015.0451.0104.1046.33.90.30")</f>
        <v>07.002.0015.0451.0104.1046.33.90.30</v>
      </c>
      <c r="S182" s="2" t="str">
        <f ca="1">IFERROR(__xludf.DUMMYFUNCTION("""COMPUTED_VALUE"""),"0000")</f>
        <v>0000</v>
      </c>
      <c r="T182" s="2">
        <f ca="1">IFERROR(__xludf.DUMMYFUNCTION("""COMPUTED_VALUE"""),2024)</f>
        <v>2024</v>
      </c>
      <c r="U182" s="2" t="str">
        <f ca="1">IFERROR(__xludf.DUMMYFUNCTION("""COMPUTED_VALUE"""),"0246")</f>
        <v>0246</v>
      </c>
      <c r="V182" s="2" t="str">
        <f ca="1">IFERROR(__xludf.DUMMYFUNCTION("""COMPUTED_VALUE"""),"06.001.0010.0301.0094.1080.44.90.51")</f>
        <v>06.001.0010.0301.0094.1080.44.90.51</v>
      </c>
      <c r="W182" s="2" t="str">
        <f ca="1">IFERROR(__xludf.DUMMYFUNCTION("""COMPUTED_VALUE"""),"303")</f>
        <v>303</v>
      </c>
      <c r="X182" s="2"/>
      <c r="Y182" s="2"/>
      <c r="Z182" s="2"/>
      <c r="AA182" s="2"/>
      <c r="AB182" s="2"/>
      <c r="AC182" s="2"/>
      <c r="AD182" s="2"/>
      <c r="AE182" s="2"/>
      <c r="AF182" s="2"/>
    </row>
    <row r="183" spans="1:32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>
        <f ca="1">IFERROR(__xludf.DUMMYFUNCTION("""COMPUTED_VALUE"""),2023)</f>
        <v>2023</v>
      </c>
      <c r="Q183" s="2" t="str">
        <f ca="1">IFERROR(__xludf.DUMMYFUNCTION("""COMPUTED_VALUE"""),"0223")</f>
        <v>0223</v>
      </c>
      <c r="R183" s="2" t="str">
        <f ca="1">IFERROR(__xludf.DUMMYFUNCTION("""COMPUTED_VALUE"""),"07.002.0015.0451.0104.1046.33.90.30")</f>
        <v>07.002.0015.0451.0104.1046.33.90.30</v>
      </c>
      <c r="S183" s="2" t="str">
        <f ca="1">IFERROR(__xludf.DUMMYFUNCTION("""COMPUTED_VALUE"""),"00033")</f>
        <v>00033</v>
      </c>
      <c r="T183" s="2">
        <f ca="1">IFERROR(__xludf.DUMMYFUNCTION("""COMPUTED_VALUE"""),2024)</f>
        <v>2024</v>
      </c>
      <c r="U183" s="2" t="str">
        <f ca="1">IFERROR(__xludf.DUMMYFUNCTION("""COMPUTED_VALUE"""),"0247")</f>
        <v>0247</v>
      </c>
      <c r="V183" s="2" t="str">
        <f ca="1">IFERROR(__xludf.DUMMYFUNCTION("""COMPUTED_VALUE"""),"06.001.0010.0301.0094.1082.44.90.61")</f>
        <v>06.001.0010.0301.0094.1082.44.90.61</v>
      </c>
      <c r="W183" s="2" t="str">
        <f ca="1">IFERROR(__xludf.DUMMYFUNCTION("""COMPUTED_VALUE"""),"303")</f>
        <v>303</v>
      </c>
      <c r="X183" s="2"/>
      <c r="Y183" s="2"/>
      <c r="Z183" s="2"/>
      <c r="AA183" s="2"/>
      <c r="AB183" s="2"/>
      <c r="AC183" s="2"/>
      <c r="AD183" s="2"/>
      <c r="AE183" s="2"/>
      <c r="AF183" s="2"/>
    </row>
    <row r="184" spans="1:32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>
        <f ca="1">IFERROR(__xludf.DUMMYFUNCTION("""COMPUTED_VALUE"""),2023)</f>
        <v>2023</v>
      </c>
      <c r="Q184" s="2" t="str">
        <f ca="1">IFERROR(__xludf.DUMMYFUNCTION("""COMPUTED_VALUE"""),"0224")</f>
        <v>0224</v>
      </c>
      <c r="R184" s="2" t="str">
        <f ca="1">IFERROR(__xludf.DUMMYFUNCTION("""COMPUTED_VALUE"""),"07.003.0015.0452.0104.1051.33.90.30")</f>
        <v>07.003.0015.0452.0104.1051.33.90.30</v>
      </c>
      <c r="S184" s="2" t="str">
        <f ca="1">IFERROR(__xludf.DUMMYFUNCTION("""COMPUTED_VALUE"""),"0000")</f>
        <v>0000</v>
      </c>
      <c r="T184" s="2">
        <f ca="1">IFERROR(__xludf.DUMMYFUNCTION("""COMPUTED_VALUE"""),2024)</f>
        <v>2024</v>
      </c>
      <c r="U184" s="2" t="str">
        <f ca="1">IFERROR(__xludf.DUMMYFUNCTION("""COMPUTED_VALUE"""),"0248")</f>
        <v>0248</v>
      </c>
      <c r="V184" s="2" t="str">
        <f ca="1">IFERROR(__xludf.DUMMYFUNCTION("""COMPUTED_VALUE"""),"06.001.0010.0301.0094.2037.31.90.07")</f>
        <v>06.001.0010.0301.0094.2037.31.90.07</v>
      </c>
      <c r="W184" s="2" t="str">
        <f ca="1">IFERROR(__xludf.DUMMYFUNCTION("""COMPUTED_VALUE"""),"303")</f>
        <v>303</v>
      </c>
      <c r="X184" s="2"/>
      <c r="Y184" s="2"/>
      <c r="Z184" s="2"/>
      <c r="AA184" s="2"/>
      <c r="AB184" s="2"/>
      <c r="AC184" s="2"/>
      <c r="AD184" s="2"/>
      <c r="AE184" s="2"/>
      <c r="AF184" s="2"/>
    </row>
    <row r="185" spans="1:32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>
        <f ca="1">IFERROR(__xludf.DUMMYFUNCTION("""COMPUTED_VALUE"""),2023)</f>
        <v>2023</v>
      </c>
      <c r="Q185" s="2" t="str">
        <f ca="1">IFERROR(__xludf.DUMMYFUNCTION("""COMPUTED_VALUE"""),"0225")</f>
        <v>0225</v>
      </c>
      <c r="R185" s="2" t="str">
        <f ca="1">IFERROR(__xludf.DUMMYFUNCTION("""COMPUTED_VALUE"""),"07.007.0015.0452.0104.1053.33.90.30")</f>
        <v>07.007.0015.0452.0104.1053.33.90.30</v>
      </c>
      <c r="S185" s="2" t="str">
        <f ca="1">IFERROR(__xludf.DUMMYFUNCTION("""COMPUTED_VALUE"""),"0000")</f>
        <v>0000</v>
      </c>
      <c r="T185" s="2">
        <f ca="1">IFERROR(__xludf.DUMMYFUNCTION("""COMPUTED_VALUE"""),2024)</f>
        <v>2024</v>
      </c>
      <c r="U185" s="2" t="str">
        <f ca="1">IFERROR(__xludf.DUMMYFUNCTION("""COMPUTED_VALUE"""),"1188")</f>
        <v>1188</v>
      </c>
      <c r="V185" s="2" t="str">
        <f ca="1">IFERROR(__xludf.DUMMYFUNCTION("""COMPUTED_VALUE"""),"06.001.0010.0301.0094.2037.31.90.11")</f>
        <v>06.001.0010.0301.0094.2037.31.90.11</v>
      </c>
      <c r="W185" s="2" t="str">
        <f ca="1">IFERROR(__xludf.DUMMYFUNCTION("""COMPUTED_VALUE"""),"303")</f>
        <v>303</v>
      </c>
      <c r="X185" s="2"/>
      <c r="Y185" s="2"/>
      <c r="Z185" s="2"/>
      <c r="AA185" s="2"/>
      <c r="AB185" s="2"/>
      <c r="AC185" s="2"/>
      <c r="AD185" s="2"/>
      <c r="AE185" s="2"/>
      <c r="AF185" s="2"/>
    </row>
    <row r="186" spans="1:32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>
        <f ca="1">IFERROR(__xludf.DUMMYFUNCTION("""COMPUTED_VALUE"""),2023)</f>
        <v>2023</v>
      </c>
      <c r="Q186" s="2" t="str">
        <f ca="1">IFERROR(__xludf.DUMMYFUNCTION("""COMPUTED_VALUE"""),"0226")</f>
        <v>0226</v>
      </c>
      <c r="R186" s="2" t="str">
        <f ca="1">IFERROR(__xludf.DUMMYFUNCTION("""COMPUTED_VALUE"""),"07.001.0004.0122.0104.2131.33.90.30")</f>
        <v>07.001.0004.0122.0104.2131.33.90.30</v>
      </c>
      <c r="S186" s="2" t="str">
        <f ca="1">IFERROR(__xludf.DUMMYFUNCTION("""COMPUTED_VALUE"""),"0000")</f>
        <v>0000</v>
      </c>
      <c r="T186" s="2">
        <f ca="1">IFERROR(__xludf.DUMMYFUNCTION("""COMPUTED_VALUE"""),2024)</f>
        <v>2024</v>
      </c>
      <c r="U186" s="2" t="str">
        <f ca="1">IFERROR(__xludf.DUMMYFUNCTION("""COMPUTED_VALUE"""),"0250")</f>
        <v>0250</v>
      </c>
      <c r="V186" s="2" t="str">
        <f ca="1">IFERROR(__xludf.DUMMYFUNCTION("""COMPUTED_VALUE"""),"06.001.0010.0301.0094.2037.31.90.13")</f>
        <v>06.001.0010.0301.0094.2037.31.90.13</v>
      </c>
      <c r="W186" s="2" t="str">
        <f ca="1">IFERROR(__xludf.DUMMYFUNCTION("""COMPUTED_VALUE"""),"303")</f>
        <v>303</v>
      </c>
      <c r="X186" s="2"/>
      <c r="Y186" s="2"/>
      <c r="Z186" s="2"/>
      <c r="AA186" s="2"/>
      <c r="AB186" s="2"/>
      <c r="AC186" s="2"/>
      <c r="AD186" s="2"/>
      <c r="AE186" s="2"/>
      <c r="AF186" s="2"/>
    </row>
    <row r="187" spans="1:32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>
        <f ca="1">IFERROR(__xludf.DUMMYFUNCTION("""COMPUTED_VALUE"""),2023)</f>
        <v>2023</v>
      </c>
      <c r="Q187" s="2" t="str">
        <f ca="1">IFERROR(__xludf.DUMMYFUNCTION("""COMPUTED_VALUE"""),"0227")</f>
        <v>0227</v>
      </c>
      <c r="R187" s="2" t="str">
        <f ca="1">IFERROR(__xludf.DUMMYFUNCTION("""COMPUTED_VALUE"""),"07.005.0015.0452.0104.2132.33.90.30")</f>
        <v>07.005.0015.0452.0104.2132.33.90.30</v>
      </c>
      <c r="S187" s="2" t="str">
        <f ca="1">IFERROR(__xludf.DUMMYFUNCTION("""COMPUTED_VALUE"""),"0000")</f>
        <v>0000</v>
      </c>
      <c r="T187" s="2">
        <f ca="1">IFERROR(__xludf.DUMMYFUNCTION("""COMPUTED_VALUE"""),2024)</f>
        <v>2024</v>
      </c>
      <c r="U187" s="2" t="str">
        <f ca="1">IFERROR(__xludf.DUMMYFUNCTION("""COMPUTED_VALUE"""),"0251")</f>
        <v>0251</v>
      </c>
      <c r="V187" s="2" t="str">
        <f ca="1">IFERROR(__xludf.DUMMYFUNCTION("""COMPUTED_VALUE"""),"06.001.0010.0301.0094.2037.31.90.94")</f>
        <v>06.001.0010.0301.0094.2037.31.90.94</v>
      </c>
      <c r="W187" s="2" t="str">
        <f ca="1">IFERROR(__xludf.DUMMYFUNCTION("""COMPUTED_VALUE"""),"303")</f>
        <v>303</v>
      </c>
      <c r="X187" s="2"/>
      <c r="Y187" s="2"/>
      <c r="Z187" s="2"/>
      <c r="AA187" s="2"/>
      <c r="AB187" s="2"/>
      <c r="AC187" s="2"/>
      <c r="AD187" s="2"/>
      <c r="AE187" s="2"/>
      <c r="AF187" s="2"/>
    </row>
    <row r="188" spans="1:32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>
        <f ca="1">IFERROR(__xludf.DUMMYFUNCTION("""COMPUTED_VALUE"""),2023)</f>
        <v>2023</v>
      </c>
      <c r="Q188" s="2" t="str">
        <f ca="1">IFERROR(__xludf.DUMMYFUNCTION("""COMPUTED_VALUE"""),"0228")</f>
        <v>0228</v>
      </c>
      <c r="R188" s="2" t="str">
        <f ca="1">IFERROR(__xludf.DUMMYFUNCTION("""COMPUTED_VALUE"""),"07.002.0015.0451.0104.2134.33.90.30")</f>
        <v>07.002.0015.0451.0104.2134.33.90.30</v>
      </c>
      <c r="S188" s="2" t="str">
        <f ca="1">IFERROR(__xludf.DUMMYFUNCTION("""COMPUTED_VALUE"""),"0000")</f>
        <v>0000</v>
      </c>
      <c r="T188" s="2">
        <f ca="1">IFERROR(__xludf.DUMMYFUNCTION("""COMPUTED_VALUE"""),2024)</f>
        <v>2024</v>
      </c>
      <c r="U188" s="2" t="str">
        <f ca="1">IFERROR(__xludf.DUMMYFUNCTION("""COMPUTED_VALUE"""),"0252")</f>
        <v>0252</v>
      </c>
      <c r="V188" s="2" t="str">
        <f ca="1">IFERROR(__xludf.DUMMYFUNCTION("""COMPUTED_VALUE"""),"06.001.0010.0301.0094.2037.31.91.13")</f>
        <v>06.001.0010.0301.0094.2037.31.91.13</v>
      </c>
      <c r="W188" s="2" t="str">
        <f ca="1">IFERROR(__xludf.DUMMYFUNCTION("""COMPUTED_VALUE"""),"303")</f>
        <v>303</v>
      </c>
      <c r="X188" s="2"/>
      <c r="Y188" s="2"/>
      <c r="Z188" s="2"/>
      <c r="AA188" s="2"/>
      <c r="AB188" s="2"/>
      <c r="AC188" s="2"/>
      <c r="AD188" s="2"/>
      <c r="AE188" s="2"/>
      <c r="AF188" s="2"/>
    </row>
    <row r="189" spans="1:32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>
        <f ca="1">IFERROR(__xludf.DUMMYFUNCTION("""COMPUTED_VALUE"""),2023)</f>
        <v>2023</v>
      </c>
      <c r="Q189" s="2" t="str">
        <f ca="1">IFERROR(__xludf.DUMMYFUNCTION("""COMPUTED_VALUE"""),"0229")</f>
        <v>0229</v>
      </c>
      <c r="R189" s="2" t="str">
        <f ca="1">IFERROR(__xludf.DUMMYFUNCTION("""COMPUTED_VALUE"""),"07.003.0015.0452.0104.2135.33.90.30")</f>
        <v>07.003.0015.0452.0104.2135.33.90.30</v>
      </c>
      <c r="S189" s="2" t="str">
        <f ca="1">IFERROR(__xludf.DUMMYFUNCTION("""COMPUTED_VALUE"""),"0000")</f>
        <v>0000</v>
      </c>
      <c r="T189" s="2">
        <f ca="1">IFERROR(__xludf.DUMMYFUNCTION("""COMPUTED_VALUE"""),2024)</f>
        <v>2024</v>
      </c>
      <c r="U189" s="2" t="str">
        <f ca="1">IFERROR(__xludf.DUMMYFUNCTION("""COMPUTED_VALUE"""),"0253")</f>
        <v>0253</v>
      </c>
      <c r="V189" s="2" t="str">
        <f ca="1">IFERROR(__xludf.DUMMYFUNCTION("""COMPUTED_VALUE"""),"06.001.0010.0301.0094.2037.33.90.08")</f>
        <v>06.001.0010.0301.0094.2037.33.90.08</v>
      </c>
      <c r="W189" s="2" t="str">
        <f ca="1">IFERROR(__xludf.DUMMYFUNCTION("""COMPUTED_VALUE"""),"303")</f>
        <v>303</v>
      </c>
      <c r="X189" s="2"/>
      <c r="Y189" s="2"/>
      <c r="Z189" s="2"/>
      <c r="AA189" s="2"/>
      <c r="AB189" s="2"/>
      <c r="AC189" s="2"/>
      <c r="AD189" s="2"/>
      <c r="AE189" s="2"/>
      <c r="AF189" s="2"/>
    </row>
    <row r="190" spans="1:32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>
        <f ca="1">IFERROR(__xludf.DUMMYFUNCTION("""COMPUTED_VALUE"""),2023)</f>
        <v>2023</v>
      </c>
      <c r="Q190" s="2" t="str">
        <f ca="1">IFERROR(__xludf.DUMMYFUNCTION("""COMPUTED_VALUE"""),"0230")</f>
        <v>0230</v>
      </c>
      <c r="R190" s="2" t="str">
        <f ca="1">IFERROR(__xludf.DUMMYFUNCTION("""COMPUTED_VALUE"""),"07.003.0015.0452.0104.2135.33.90.30")</f>
        <v>07.003.0015.0452.0104.2135.33.90.30</v>
      </c>
      <c r="S190" s="2" t="str">
        <f ca="1">IFERROR(__xludf.DUMMYFUNCTION("""COMPUTED_VALUE"""),"00509")</f>
        <v>00509</v>
      </c>
      <c r="T190" s="2">
        <f ca="1">IFERROR(__xludf.DUMMYFUNCTION("""COMPUTED_VALUE"""),2024)</f>
        <v>2024</v>
      </c>
      <c r="U190" s="2" t="str">
        <f ca="1">IFERROR(__xludf.DUMMYFUNCTION("""COMPUTED_VALUE"""),"0254")</f>
        <v>0254</v>
      </c>
      <c r="V190" s="2" t="str">
        <f ca="1">IFERROR(__xludf.DUMMYFUNCTION("""COMPUTED_VALUE"""),"06.001.0010.0301.0094.2037.33.90.14")</f>
        <v>06.001.0010.0301.0094.2037.33.90.14</v>
      </c>
      <c r="W190" s="2" t="str">
        <f ca="1">IFERROR(__xludf.DUMMYFUNCTION("""COMPUTED_VALUE"""),"303")</f>
        <v>303</v>
      </c>
      <c r="X190" s="2"/>
      <c r="Y190" s="2"/>
      <c r="Z190" s="2"/>
      <c r="AA190" s="2"/>
      <c r="AB190" s="2"/>
      <c r="AC190" s="2"/>
      <c r="AD190" s="2"/>
      <c r="AE190" s="2"/>
      <c r="AF190" s="2"/>
    </row>
    <row r="191" spans="1:32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>
        <f ca="1">IFERROR(__xludf.DUMMYFUNCTION("""COMPUTED_VALUE"""),2023)</f>
        <v>2023</v>
      </c>
      <c r="Q191" s="2" t="str">
        <f ca="1">IFERROR(__xludf.DUMMYFUNCTION("""COMPUTED_VALUE"""),"0231")</f>
        <v>0231</v>
      </c>
      <c r="R191" s="2" t="str">
        <f ca="1">IFERROR(__xludf.DUMMYFUNCTION("""COMPUTED_VALUE"""),"07.007.0015.0452.0104.2137.33.90.30")</f>
        <v>07.007.0015.0452.0104.2137.33.90.30</v>
      </c>
      <c r="S191" s="2" t="str">
        <f ca="1">IFERROR(__xludf.DUMMYFUNCTION("""COMPUTED_VALUE"""),"0000")</f>
        <v>0000</v>
      </c>
      <c r="T191" s="2">
        <f ca="1">IFERROR(__xludf.DUMMYFUNCTION("""COMPUTED_VALUE"""),2024)</f>
        <v>2024</v>
      </c>
      <c r="U191" s="2" t="str">
        <f ca="1">IFERROR(__xludf.DUMMYFUNCTION("""COMPUTED_VALUE"""),"0255")</f>
        <v>0255</v>
      </c>
      <c r="V191" s="2" t="str">
        <f ca="1">IFERROR(__xludf.DUMMYFUNCTION("""COMPUTED_VALUE"""),"06.001.0010.0301.0094.2037.33.90.30")</f>
        <v>06.001.0010.0301.0094.2037.33.90.30</v>
      </c>
      <c r="W191" s="2" t="str">
        <f ca="1">IFERROR(__xludf.DUMMYFUNCTION("""COMPUTED_VALUE"""),"303")</f>
        <v>303</v>
      </c>
      <c r="X191" s="2"/>
      <c r="Y191" s="2"/>
      <c r="Z191" s="2"/>
      <c r="AA191" s="2"/>
      <c r="AB191" s="2"/>
      <c r="AC191" s="2"/>
      <c r="AD191" s="2"/>
      <c r="AE191" s="2"/>
      <c r="AF191" s="2"/>
    </row>
    <row r="192" spans="1:3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>
        <f ca="1">IFERROR(__xludf.DUMMYFUNCTION("""COMPUTED_VALUE"""),2023)</f>
        <v>2023</v>
      </c>
      <c r="Q192" s="2" t="str">
        <f ca="1">IFERROR(__xludf.DUMMYFUNCTION("""COMPUTED_VALUE"""),"0232")</f>
        <v>0232</v>
      </c>
      <c r="R192" s="2" t="str">
        <f ca="1">IFERROR(__xludf.DUMMYFUNCTION("""COMPUTED_VALUE"""),"07.003.0015.0452.0107.2133.33.90.30")</f>
        <v>07.003.0015.0452.0107.2133.33.90.30</v>
      </c>
      <c r="S192" s="2" t="str">
        <f ca="1">IFERROR(__xludf.DUMMYFUNCTION("""COMPUTED_VALUE"""),"0000")</f>
        <v>0000</v>
      </c>
      <c r="T192" s="2">
        <f ca="1">IFERROR(__xludf.DUMMYFUNCTION("""COMPUTED_VALUE"""),2024)</f>
        <v>2024</v>
      </c>
      <c r="U192" s="2" t="str">
        <f ca="1">IFERROR(__xludf.DUMMYFUNCTION("""COMPUTED_VALUE"""),"0256")</f>
        <v>0256</v>
      </c>
      <c r="V192" s="2" t="str">
        <f ca="1">IFERROR(__xludf.DUMMYFUNCTION("""COMPUTED_VALUE"""),"06.001.0010.0301.0094.2037.33.90.33")</f>
        <v>06.001.0010.0301.0094.2037.33.90.33</v>
      </c>
      <c r="W192" s="2" t="str">
        <f ca="1">IFERROR(__xludf.DUMMYFUNCTION("""COMPUTED_VALUE"""),"303")</f>
        <v>303</v>
      </c>
      <c r="X192" s="2"/>
      <c r="Y192" s="2"/>
      <c r="Z192" s="2"/>
      <c r="AA192" s="2"/>
      <c r="AB192" s="2"/>
      <c r="AC192" s="2"/>
      <c r="AD192" s="2"/>
      <c r="AE192" s="2"/>
      <c r="AF192" s="2"/>
    </row>
    <row r="193" spans="1:32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>
        <f ca="1">IFERROR(__xludf.DUMMYFUNCTION("""COMPUTED_VALUE"""),2023)</f>
        <v>2023</v>
      </c>
      <c r="Q193" s="2" t="str">
        <f ca="1">IFERROR(__xludf.DUMMYFUNCTION("""COMPUTED_VALUE"""),"0233")</f>
        <v>0233</v>
      </c>
      <c r="R193" s="2" t="str">
        <f ca="1">IFERROR(__xludf.DUMMYFUNCTION("""COMPUTED_VALUE"""),"07.003.0015.0452.0107.2133.33.90.30")</f>
        <v>07.003.0015.0452.0107.2133.33.90.30</v>
      </c>
      <c r="S193" s="2" t="str">
        <f ca="1">IFERROR(__xludf.DUMMYFUNCTION("""COMPUTED_VALUE"""),"00507")</f>
        <v>00507</v>
      </c>
      <c r="T193" s="2">
        <f ca="1">IFERROR(__xludf.DUMMYFUNCTION("""COMPUTED_VALUE"""),2024)</f>
        <v>2024</v>
      </c>
      <c r="U193" s="2" t="str">
        <f ca="1">IFERROR(__xludf.DUMMYFUNCTION("""COMPUTED_VALUE"""),"0258")</f>
        <v>0258</v>
      </c>
      <c r="V193" s="2" t="str">
        <f ca="1">IFERROR(__xludf.DUMMYFUNCTION("""COMPUTED_VALUE"""),"06.001.0010.0301.0094.2037.33.90.36")</f>
        <v>06.001.0010.0301.0094.2037.33.90.36</v>
      </c>
      <c r="W193" s="2" t="str">
        <f ca="1">IFERROR(__xludf.DUMMYFUNCTION("""COMPUTED_VALUE"""),"303")</f>
        <v>303</v>
      </c>
      <c r="X193" s="2"/>
      <c r="Y193" s="2"/>
      <c r="Z193" s="2"/>
      <c r="AA193" s="2"/>
      <c r="AB193" s="2"/>
      <c r="AC193" s="2"/>
      <c r="AD193" s="2"/>
      <c r="AE193" s="2"/>
      <c r="AF193" s="2"/>
    </row>
    <row r="194" spans="1:32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>
        <f ca="1">IFERROR(__xludf.DUMMYFUNCTION("""COMPUTED_VALUE"""),2023)</f>
        <v>2023</v>
      </c>
      <c r="Q194" s="2" t="str">
        <f ca="1">IFERROR(__xludf.DUMMYFUNCTION("""COMPUTED_VALUE"""),"0234")</f>
        <v>0234</v>
      </c>
      <c r="R194" s="2" t="str">
        <f ca="1">IFERROR(__xludf.DUMMYFUNCTION("""COMPUTED_VALUE"""),"12.003.0023.0695.0113.2119.33.90.30")</f>
        <v>12.003.0023.0695.0113.2119.33.90.30</v>
      </c>
      <c r="S194" s="2" t="str">
        <f ca="1">IFERROR(__xludf.DUMMYFUNCTION("""COMPUTED_VALUE"""),"0000")</f>
        <v>0000</v>
      </c>
      <c r="T194" s="2">
        <f ca="1">IFERROR(__xludf.DUMMYFUNCTION("""COMPUTED_VALUE"""),2024)</f>
        <v>2024</v>
      </c>
      <c r="U194" s="2" t="str">
        <f ca="1">IFERROR(__xludf.DUMMYFUNCTION("""COMPUTED_VALUE"""),"0259")</f>
        <v>0259</v>
      </c>
      <c r="V194" s="2" t="str">
        <f ca="1">IFERROR(__xludf.DUMMYFUNCTION("""COMPUTED_VALUE"""),"06.001.0010.0301.0094.2037.33.90.37")</f>
        <v>06.001.0010.0301.0094.2037.33.90.37</v>
      </c>
      <c r="W194" s="2" t="str">
        <f ca="1">IFERROR(__xludf.DUMMYFUNCTION("""COMPUTED_VALUE"""),"303")</f>
        <v>303</v>
      </c>
      <c r="X194" s="2"/>
      <c r="Y194" s="2"/>
      <c r="Z194" s="2"/>
      <c r="AA194" s="2"/>
      <c r="AB194" s="2"/>
      <c r="AC194" s="2"/>
      <c r="AD194" s="2"/>
      <c r="AE194" s="2"/>
      <c r="AF194" s="2"/>
    </row>
    <row r="195" spans="1:32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>
        <f ca="1">IFERROR(__xludf.DUMMYFUNCTION("""COMPUTED_VALUE"""),2023)</f>
        <v>2023</v>
      </c>
      <c r="Q195" s="2" t="str">
        <f ca="1">IFERROR(__xludf.DUMMYFUNCTION("""COMPUTED_VALUE"""),"0235")</f>
        <v>0235</v>
      </c>
      <c r="R195" s="2" t="str">
        <f ca="1">IFERROR(__xludf.DUMMYFUNCTION("""COMPUTED_VALUE"""),"12.002.0011.0331.0113.2120.33.90.30")</f>
        <v>12.002.0011.0331.0113.2120.33.90.30</v>
      </c>
      <c r="S195" s="2" t="str">
        <f ca="1">IFERROR(__xludf.DUMMYFUNCTION("""COMPUTED_VALUE"""),"0000")</f>
        <v>0000</v>
      </c>
      <c r="T195" s="2">
        <f ca="1">IFERROR(__xludf.DUMMYFUNCTION("""COMPUTED_VALUE"""),2024)</f>
        <v>2024</v>
      </c>
      <c r="U195" s="2" t="str">
        <f ca="1">IFERROR(__xludf.DUMMYFUNCTION("""COMPUTED_VALUE"""),"0260")</f>
        <v>0260</v>
      </c>
      <c r="V195" s="2" t="str">
        <f ca="1">IFERROR(__xludf.DUMMYFUNCTION("""COMPUTED_VALUE"""),"06.001.0010.0301.0094.2037.33.90.39")</f>
        <v>06.001.0010.0301.0094.2037.33.90.39</v>
      </c>
      <c r="W195" s="2" t="str">
        <f ca="1">IFERROR(__xludf.DUMMYFUNCTION("""COMPUTED_VALUE"""),"303")</f>
        <v>303</v>
      </c>
      <c r="X195" s="2"/>
      <c r="Y195" s="2"/>
      <c r="Z195" s="2"/>
      <c r="AA195" s="2"/>
      <c r="AB195" s="2"/>
      <c r="AC195" s="2"/>
      <c r="AD195" s="2"/>
      <c r="AE195" s="2"/>
      <c r="AF195" s="2"/>
    </row>
    <row r="196" spans="1:32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>
        <f ca="1">IFERROR(__xludf.DUMMYFUNCTION("""COMPUTED_VALUE"""),2023)</f>
        <v>2023</v>
      </c>
      <c r="Q196" s="2" t="str">
        <f ca="1">IFERROR(__xludf.DUMMYFUNCTION("""COMPUTED_VALUE"""),"0236")</f>
        <v>0236</v>
      </c>
      <c r="R196" s="2" t="str">
        <f ca="1">IFERROR(__xludf.DUMMYFUNCTION("""COMPUTED_VALUE"""),"12.005.0020.0605.0113.2122.33.90.30")</f>
        <v>12.005.0020.0605.0113.2122.33.90.30</v>
      </c>
      <c r="S196" s="2" t="str">
        <f ca="1">IFERROR(__xludf.DUMMYFUNCTION("""COMPUTED_VALUE"""),"0000")</f>
        <v>0000</v>
      </c>
      <c r="T196" s="2">
        <f ca="1">IFERROR(__xludf.DUMMYFUNCTION("""COMPUTED_VALUE"""),2024)</f>
        <v>2024</v>
      </c>
      <c r="U196" s="2" t="str">
        <f ca="1">IFERROR(__xludf.DUMMYFUNCTION("""COMPUTED_VALUE"""),"0261")</f>
        <v>0261</v>
      </c>
      <c r="V196" s="2" t="str">
        <f ca="1">IFERROR(__xludf.DUMMYFUNCTION("""COMPUTED_VALUE"""),"06.001.0010.0301.0094.2037.33.90.40")</f>
        <v>06.001.0010.0301.0094.2037.33.90.40</v>
      </c>
      <c r="W196" s="2" t="str">
        <f ca="1">IFERROR(__xludf.DUMMYFUNCTION("""COMPUTED_VALUE"""),"303")</f>
        <v>303</v>
      </c>
      <c r="X196" s="2"/>
      <c r="Y196" s="2"/>
      <c r="Z196" s="2"/>
      <c r="AA196" s="2"/>
      <c r="AB196" s="2"/>
      <c r="AC196" s="2"/>
      <c r="AD196" s="2"/>
      <c r="AE196" s="2"/>
      <c r="AF196" s="2"/>
    </row>
    <row r="197" spans="1:32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>
        <f ca="1">IFERROR(__xludf.DUMMYFUNCTION("""COMPUTED_VALUE"""),2023)</f>
        <v>2023</v>
      </c>
      <c r="Q197" s="2" t="str">
        <f ca="1">IFERROR(__xludf.DUMMYFUNCTION("""COMPUTED_VALUE"""),"0237")</f>
        <v>0237</v>
      </c>
      <c r="R197" s="2" t="str">
        <f ca="1">IFERROR(__xludf.DUMMYFUNCTION("""COMPUTED_VALUE"""),"12.005.0020.0605.0113.2123.33.90.30")</f>
        <v>12.005.0020.0605.0113.2123.33.90.30</v>
      </c>
      <c r="S197" s="2" t="str">
        <f ca="1">IFERROR(__xludf.DUMMYFUNCTION("""COMPUTED_VALUE"""),"0000")</f>
        <v>0000</v>
      </c>
      <c r="T197" s="2">
        <f ca="1">IFERROR(__xludf.DUMMYFUNCTION("""COMPUTED_VALUE"""),2024)</f>
        <v>2024</v>
      </c>
      <c r="U197" s="2" t="str">
        <f ca="1">IFERROR(__xludf.DUMMYFUNCTION("""COMPUTED_VALUE"""),"0262")</f>
        <v>0262</v>
      </c>
      <c r="V197" s="2" t="str">
        <f ca="1">IFERROR(__xludf.DUMMYFUNCTION("""COMPUTED_VALUE"""),"06.001.0010.0301.0094.2037.33.90.46")</f>
        <v>06.001.0010.0301.0094.2037.33.90.46</v>
      </c>
      <c r="W197" s="2" t="str">
        <f ca="1">IFERROR(__xludf.DUMMYFUNCTION("""COMPUTED_VALUE"""),"303")</f>
        <v>303</v>
      </c>
      <c r="X197" s="2"/>
      <c r="Y197" s="2"/>
      <c r="Z197" s="2"/>
      <c r="AA197" s="2"/>
      <c r="AB197" s="2"/>
      <c r="AC197" s="2"/>
      <c r="AD197" s="2"/>
      <c r="AE197" s="2"/>
      <c r="AF197" s="2"/>
    </row>
    <row r="198" spans="1:32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>
        <f ca="1">IFERROR(__xludf.DUMMYFUNCTION("""COMPUTED_VALUE"""),2023)</f>
        <v>2023</v>
      </c>
      <c r="Q198" s="2" t="str">
        <f ca="1">IFERROR(__xludf.DUMMYFUNCTION("""COMPUTED_VALUE"""),"0238")</f>
        <v>0238</v>
      </c>
      <c r="R198" s="2" t="str">
        <f ca="1">IFERROR(__xludf.DUMMYFUNCTION("""COMPUTED_VALUE"""),"12.008.0023.0695.0113.2125.33.90.30")</f>
        <v>12.008.0023.0695.0113.2125.33.90.30</v>
      </c>
      <c r="S198" s="2" t="str">
        <f ca="1">IFERROR(__xludf.DUMMYFUNCTION("""COMPUTED_VALUE"""),"00036")</f>
        <v>00036</v>
      </c>
      <c r="T198" s="2">
        <f ca="1">IFERROR(__xludf.DUMMYFUNCTION("""COMPUTED_VALUE"""),2024)</f>
        <v>2024</v>
      </c>
      <c r="U198" s="2" t="str">
        <f ca="1">IFERROR(__xludf.DUMMYFUNCTION("""COMPUTED_VALUE"""),"0249")</f>
        <v>0249</v>
      </c>
      <c r="V198" s="2" t="str">
        <f ca="1">IFERROR(__xludf.DUMMYFUNCTION("""COMPUTED_VALUE"""),"06.001.0010.0301.0094.2037.33.90.92")</f>
        <v>06.001.0010.0301.0094.2037.33.90.92</v>
      </c>
      <c r="W198" s="2" t="str">
        <f ca="1">IFERROR(__xludf.DUMMYFUNCTION("""COMPUTED_VALUE"""),"0")</f>
        <v>0</v>
      </c>
      <c r="X198" s="2"/>
      <c r="Y198" s="2"/>
      <c r="Z198" s="2"/>
      <c r="AA198" s="2"/>
      <c r="AB198" s="2"/>
      <c r="AC198" s="2"/>
      <c r="AD198" s="2"/>
      <c r="AE198" s="2"/>
      <c r="AF198" s="2"/>
    </row>
    <row r="199" spans="1:32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>
        <f ca="1">IFERROR(__xludf.DUMMYFUNCTION("""COMPUTED_VALUE"""),2023)</f>
        <v>2023</v>
      </c>
      <c r="Q199" s="2" t="str">
        <f ca="1">IFERROR(__xludf.DUMMYFUNCTION("""COMPUTED_VALUE"""),"0239")</f>
        <v>0239</v>
      </c>
      <c r="R199" s="2" t="str">
        <f ca="1">IFERROR(__xludf.DUMMYFUNCTION("""COMPUTED_VALUE"""),"12.004.0023.0691.0113.2126.33.90.30")</f>
        <v>12.004.0023.0691.0113.2126.33.90.30</v>
      </c>
      <c r="S199" s="2" t="str">
        <f ca="1">IFERROR(__xludf.DUMMYFUNCTION("""COMPUTED_VALUE"""),"0000")</f>
        <v>0000</v>
      </c>
      <c r="T199" s="2">
        <f ca="1">IFERROR(__xludf.DUMMYFUNCTION("""COMPUTED_VALUE"""),2024)</f>
        <v>2024</v>
      </c>
      <c r="U199" s="2" t="str">
        <f ca="1">IFERROR(__xludf.DUMMYFUNCTION("""COMPUTED_VALUE"""),"0264")</f>
        <v>0264</v>
      </c>
      <c r="V199" s="2" t="str">
        <f ca="1">IFERROR(__xludf.DUMMYFUNCTION("""COMPUTED_VALUE"""),"06.001.0010.0301.0094.2038.33.90.14")</f>
        <v>06.001.0010.0301.0094.2038.33.90.14</v>
      </c>
      <c r="W199" s="2" t="str">
        <f ca="1">IFERROR(__xludf.DUMMYFUNCTION("""COMPUTED_VALUE"""),"303")</f>
        <v>303</v>
      </c>
      <c r="X199" s="2"/>
      <c r="Y199" s="2"/>
      <c r="Z199" s="2"/>
      <c r="AA199" s="2"/>
      <c r="AB199" s="2"/>
      <c r="AC199" s="2"/>
      <c r="AD199" s="2"/>
      <c r="AE199" s="2"/>
      <c r="AF199" s="2"/>
    </row>
    <row r="200" spans="1:32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>
        <f ca="1">IFERROR(__xludf.DUMMYFUNCTION("""COMPUTED_VALUE"""),2023)</f>
        <v>2023</v>
      </c>
      <c r="Q200" s="2" t="str">
        <f ca="1">IFERROR(__xludf.DUMMYFUNCTION("""COMPUTED_VALUE"""),"0240")</f>
        <v>0240</v>
      </c>
      <c r="R200" s="2" t="str">
        <f ca="1">IFERROR(__xludf.DUMMYFUNCTION("""COMPUTED_VALUE"""),"12.004.0022.0661.0113.2127.33.90.30")</f>
        <v>12.004.0022.0661.0113.2127.33.90.30</v>
      </c>
      <c r="S200" s="2" t="str">
        <f ca="1">IFERROR(__xludf.DUMMYFUNCTION("""COMPUTED_VALUE"""),"0000")</f>
        <v>0000</v>
      </c>
      <c r="T200" s="2">
        <f ca="1">IFERROR(__xludf.DUMMYFUNCTION("""COMPUTED_VALUE"""),2024)</f>
        <v>2024</v>
      </c>
      <c r="U200" s="2" t="str">
        <f ca="1">IFERROR(__xludf.DUMMYFUNCTION("""COMPUTED_VALUE"""),"0265")</f>
        <v>0265</v>
      </c>
      <c r="V200" s="2" t="str">
        <f ca="1">IFERROR(__xludf.DUMMYFUNCTION("""COMPUTED_VALUE"""),"06.001.0010.0301.0094.2038.33.90.30")</f>
        <v>06.001.0010.0301.0094.2038.33.90.30</v>
      </c>
      <c r="W200" s="2" t="str">
        <f ca="1">IFERROR(__xludf.DUMMYFUNCTION("""COMPUTED_VALUE"""),"303")</f>
        <v>303</v>
      </c>
      <c r="X200" s="2"/>
      <c r="Y200" s="2"/>
      <c r="Z200" s="2"/>
      <c r="AA200" s="2"/>
      <c r="AB200" s="2"/>
      <c r="AC200" s="2"/>
      <c r="AD200" s="2"/>
      <c r="AE200" s="2"/>
      <c r="AF200" s="2"/>
    </row>
    <row r="201" spans="1:32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>
        <f ca="1">IFERROR(__xludf.DUMMYFUNCTION("""COMPUTED_VALUE"""),2023)</f>
        <v>2023</v>
      </c>
      <c r="Q201" s="2" t="str">
        <f ca="1">IFERROR(__xludf.DUMMYFUNCTION("""COMPUTED_VALUE"""),"0241")</f>
        <v>0241</v>
      </c>
      <c r="R201" s="2" t="str">
        <f ca="1">IFERROR(__xludf.DUMMYFUNCTION("""COMPUTED_VALUE"""),"12.004.0023.0691.0113.2128.33.90.30")</f>
        <v>12.004.0023.0691.0113.2128.33.90.30</v>
      </c>
      <c r="S201" s="2" t="str">
        <f ca="1">IFERROR(__xludf.DUMMYFUNCTION("""COMPUTED_VALUE"""),"0000")</f>
        <v>0000</v>
      </c>
      <c r="T201" s="2">
        <f ca="1">IFERROR(__xludf.DUMMYFUNCTION("""COMPUTED_VALUE"""),2024)</f>
        <v>2024</v>
      </c>
      <c r="U201" s="2" t="str">
        <f ca="1">IFERROR(__xludf.DUMMYFUNCTION("""COMPUTED_VALUE"""),"0266")</f>
        <v>0266</v>
      </c>
      <c r="V201" s="2" t="str">
        <f ca="1">IFERROR(__xludf.DUMMYFUNCTION("""COMPUTED_VALUE"""),"06.001.0010.0301.0094.2038.33.90.33")</f>
        <v>06.001.0010.0301.0094.2038.33.90.33</v>
      </c>
      <c r="W201" s="2" t="str">
        <f ca="1">IFERROR(__xludf.DUMMYFUNCTION("""COMPUTED_VALUE"""),"303")</f>
        <v>303</v>
      </c>
      <c r="X201" s="2"/>
      <c r="Y201" s="2"/>
      <c r="Z201" s="2"/>
      <c r="AA201" s="2"/>
      <c r="AB201" s="2"/>
      <c r="AC201" s="2"/>
      <c r="AD201" s="2"/>
      <c r="AE201" s="2"/>
      <c r="AF201" s="2"/>
    </row>
    <row r="202" spans="1:3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>
        <f ca="1">IFERROR(__xludf.DUMMYFUNCTION("""COMPUTED_VALUE"""),2023)</f>
        <v>2023</v>
      </c>
      <c r="Q202" s="2" t="str">
        <f ca="1">IFERROR(__xludf.DUMMYFUNCTION("""COMPUTED_VALUE"""),"0242")</f>
        <v>0242</v>
      </c>
      <c r="R202" s="2" t="str">
        <f ca="1">IFERROR(__xludf.DUMMYFUNCTION("""COMPUTED_VALUE"""),"12.001.0004.0122.0113.2129.33.90.30")</f>
        <v>12.001.0004.0122.0113.2129.33.90.30</v>
      </c>
      <c r="S202" s="2" t="str">
        <f ca="1">IFERROR(__xludf.DUMMYFUNCTION("""COMPUTED_VALUE"""),"0000")</f>
        <v>0000</v>
      </c>
      <c r="T202" s="2">
        <f ca="1">IFERROR(__xludf.DUMMYFUNCTION("""COMPUTED_VALUE"""),2024)</f>
        <v>2024</v>
      </c>
      <c r="U202" s="2" t="str">
        <f ca="1">IFERROR(__xludf.DUMMYFUNCTION("""COMPUTED_VALUE"""),"0267")</f>
        <v>0267</v>
      </c>
      <c r="V202" s="2" t="str">
        <f ca="1">IFERROR(__xludf.DUMMYFUNCTION("""COMPUTED_VALUE"""),"06.001.0010.0301.0094.2038.33.90.39")</f>
        <v>06.001.0010.0301.0094.2038.33.90.39</v>
      </c>
      <c r="W202" s="2" t="str">
        <f ca="1">IFERROR(__xludf.DUMMYFUNCTION("""COMPUTED_VALUE"""),"303")</f>
        <v>303</v>
      </c>
      <c r="X202" s="2"/>
      <c r="Y202" s="2"/>
      <c r="Z202" s="2"/>
      <c r="AA202" s="2"/>
      <c r="AB202" s="2"/>
      <c r="AC202" s="2"/>
      <c r="AD202" s="2"/>
      <c r="AE202" s="2"/>
      <c r="AF202" s="2"/>
    </row>
    <row r="203" spans="1:32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>
        <f ca="1">IFERROR(__xludf.DUMMYFUNCTION("""COMPUTED_VALUE"""),2023)</f>
        <v>2023</v>
      </c>
      <c r="Q203" s="2" t="str">
        <f ca="1">IFERROR(__xludf.DUMMYFUNCTION("""COMPUTED_VALUE"""),"0243")</f>
        <v>0243</v>
      </c>
      <c r="R203" s="2" t="str">
        <f ca="1">IFERROR(__xludf.DUMMYFUNCTION("""COMPUTED_VALUE"""),"12.005.0020.0605.0113.2130.33.90.30")</f>
        <v>12.005.0020.0605.0113.2130.33.90.30</v>
      </c>
      <c r="S203" s="2" t="str">
        <f ca="1">IFERROR(__xludf.DUMMYFUNCTION("""COMPUTED_VALUE"""),"05107")</f>
        <v>05107</v>
      </c>
      <c r="T203" s="2">
        <f ca="1">IFERROR(__xludf.DUMMYFUNCTION("""COMPUTED_VALUE"""),2024)</f>
        <v>2024</v>
      </c>
      <c r="U203" s="2" t="str">
        <f ca="1">IFERROR(__xludf.DUMMYFUNCTION("""COMPUTED_VALUE"""),"0268")</f>
        <v>0268</v>
      </c>
      <c r="V203" s="2" t="str">
        <f ca="1">IFERROR(__xludf.DUMMYFUNCTION("""COMPUTED_VALUE"""),"06.001.0010.0301.0094.2039.31.90.04")</f>
        <v>06.001.0010.0301.0094.2039.31.90.04</v>
      </c>
      <c r="W203" s="2" t="str">
        <f ca="1">IFERROR(__xludf.DUMMYFUNCTION("""COMPUTED_VALUE"""),"303")</f>
        <v>303</v>
      </c>
      <c r="X203" s="2"/>
      <c r="Y203" s="2"/>
      <c r="Z203" s="2"/>
      <c r="AA203" s="2"/>
      <c r="AB203" s="2"/>
      <c r="AC203" s="2"/>
      <c r="AD203" s="2"/>
      <c r="AE203" s="2"/>
      <c r="AF203" s="2"/>
    </row>
    <row r="204" spans="1:32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>
        <f ca="1">IFERROR(__xludf.DUMMYFUNCTION("""COMPUTED_VALUE"""),2023)</f>
        <v>2023</v>
      </c>
      <c r="Q204" s="2" t="str">
        <f ca="1">IFERROR(__xludf.DUMMYFUNCTION("""COMPUTED_VALUE"""),"0244")</f>
        <v>0244</v>
      </c>
      <c r="R204" s="2" t="str">
        <f ca="1">IFERROR(__xludf.DUMMYFUNCTION("""COMPUTED_VALUE"""),"12.009.0011.0334.0113.2139.33.90.30")</f>
        <v>12.009.0011.0334.0113.2139.33.90.30</v>
      </c>
      <c r="S204" s="2" t="str">
        <f ca="1">IFERROR(__xludf.DUMMYFUNCTION("""COMPUTED_VALUE"""),"0000")</f>
        <v>0000</v>
      </c>
      <c r="T204" s="2">
        <f ca="1">IFERROR(__xludf.DUMMYFUNCTION("""COMPUTED_VALUE"""),2024)</f>
        <v>2024</v>
      </c>
      <c r="U204" s="2" t="str">
        <f ca="1">IFERROR(__xludf.DUMMYFUNCTION("""COMPUTED_VALUE"""),"0290")</f>
        <v>0290</v>
      </c>
      <c r="V204" s="2" t="str">
        <f ca="1">IFERROR(__xludf.DUMMYFUNCTION("""COMPUTED_VALUE"""),"06.001.0010.0301.0094.2039.31.90.07")</f>
        <v>06.001.0010.0301.0094.2039.31.90.07</v>
      </c>
      <c r="W204" s="2" t="str">
        <f ca="1">IFERROR(__xludf.DUMMYFUNCTION("""COMPUTED_VALUE"""),"4942")</f>
        <v>4942</v>
      </c>
      <c r="X204" s="2"/>
      <c r="Y204" s="2"/>
      <c r="Z204" s="2"/>
      <c r="AA204" s="2"/>
      <c r="AB204" s="2"/>
      <c r="AC204" s="2"/>
      <c r="AD204" s="2"/>
      <c r="AE204" s="2"/>
      <c r="AF204" s="2"/>
    </row>
    <row r="205" spans="1:32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>
        <f ca="1">IFERROR(__xludf.DUMMYFUNCTION("""COMPUTED_VALUE"""),2023)</f>
        <v>2023</v>
      </c>
      <c r="Q205" s="2" t="str">
        <f ca="1">IFERROR(__xludf.DUMMYFUNCTION("""COMPUTED_VALUE"""),"0245")</f>
        <v>0245</v>
      </c>
      <c r="R205" s="2" t="str">
        <f ca="1">IFERROR(__xludf.DUMMYFUNCTION("""COMPUTED_VALUE"""),"12.004.0023.0691.0113.2140.33.90.30")</f>
        <v>12.004.0023.0691.0113.2140.33.90.30</v>
      </c>
      <c r="S205" s="2" t="str">
        <f ca="1">IFERROR(__xludf.DUMMYFUNCTION("""COMPUTED_VALUE"""),"0000")</f>
        <v>0000</v>
      </c>
      <c r="T205" s="2">
        <f ca="1">IFERROR(__xludf.DUMMYFUNCTION("""COMPUTED_VALUE"""),2024)</f>
        <v>2024</v>
      </c>
      <c r="U205" s="2" t="str">
        <f ca="1">IFERROR(__xludf.DUMMYFUNCTION("""COMPUTED_VALUE"""),"1189")</f>
        <v>1189</v>
      </c>
      <c r="V205" s="2" t="str">
        <f ca="1">IFERROR(__xludf.DUMMYFUNCTION("""COMPUTED_VALUE"""),"06.001.0010.0301.0094.2039.31.90.11")</f>
        <v>06.001.0010.0301.0094.2039.31.90.11</v>
      </c>
      <c r="W205" s="2" t="str">
        <f ca="1">IFERROR(__xludf.DUMMYFUNCTION("""COMPUTED_VALUE"""),"303")</f>
        <v>303</v>
      </c>
      <c r="X205" s="2"/>
      <c r="Y205" s="2"/>
      <c r="Z205" s="2"/>
      <c r="AA205" s="2"/>
      <c r="AB205" s="2"/>
      <c r="AC205" s="2"/>
      <c r="AD205" s="2"/>
      <c r="AE205" s="2"/>
      <c r="AF205" s="2"/>
    </row>
    <row r="206" spans="1:32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>
        <f ca="1">IFERROR(__xludf.DUMMYFUNCTION("""COMPUTED_VALUE"""),2023)</f>
        <v>2023</v>
      </c>
      <c r="Q206" s="2" t="str">
        <f ca="1">IFERROR(__xludf.DUMMYFUNCTION("""COMPUTED_VALUE"""),"0246")</f>
        <v>0246</v>
      </c>
      <c r="R206" s="2" t="str">
        <f ca="1">IFERROR(__xludf.DUMMYFUNCTION("""COMPUTED_VALUE"""),"08.001.0008.0244.0118.2029.33.90.30")</f>
        <v>08.001.0008.0244.0118.2029.33.90.30</v>
      </c>
      <c r="S206" s="2" t="str">
        <f ca="1">IFERROR(__xludf.DUMMYFUNCTION("""COMPUTED_VALUE"""),"0000")</f>
        <v>0000</v>
      </c>
      <c r="T206" s="2">
        <f ca="1">IFERROR(__xludf.DUMMYFUNCTION("""COMPUTED_VALUE"""),2024)</f>
        <v>2024</v>
      </c>
      <c r="U206" s="2" t="str">
        <f ca="1">IFERROR(__xludf.DUMMYFUNCTION("""COMPUTED_VALUE"""),"0272")</f>
        <v>0272</v>
      </c>
      <c r="V206" s="2" t="str">
        <f ca="1">IFERROR(__xludf.DUMMYFUNCTION("""COMPUTED_VALUE"""),"06.001.0010.0301.0094.2039.31.90.11")</f>
        <v>06.001.0010.0301.0094.2039.31.90.11</v>
      </c>
      <c r="W206" s="2" t="str">
        <f ca="1">IFERROR(__xludf.DUMMYFUNCTION("""COMPUTED_VALUE"""),"303")</f>
        <v>303</v>
      </c>
      <c r="X206" s="2"/>
      <c r="Y206" s="2"/>
      <c r="Z206" s="2"/>
      <c r="AA206" s="2"/>
      <c r="AB206" s="2"/>
      <c r="AC206" s="2"/>
      <c r="AD206" s="2"/>
      <c r="AE206" s="2"/>
      <c r="AF206" s="2"/>
    </row>
    <row r="207" spans="1:32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>
        <f ca="1">IFERROR(__xludf.DUMMYFUNCTION("""COMPUTED_VALUE"""),2023)</f>
        <v>2023</v>
      </c>
      <c r="Q207" s="2" t="str">
        <f ca="1">IFERROR(__xludf.DUMMYFUNCTION("""COMPUTED_VALUE"""),"0247")</f>
        <v>0247</v>
      </c>
      <c r="R207" s="2" t="str">
        <f ca="1">IFERROR(__xludf.DUMMYFUNCTION("""COMPUTED_VALUE"""),"08.003.0008.0244.0118.2030.33.90.30")</f>
        <v>08.003.0008.0244.0118.2030.33.90.30</v>
      </c>
      <c r="S207" s="2" t="str">
        <f ca="1">IFERROR(__xludf.DUMMYFUNCTION("""COMPUTED_VALUE"""),"0000")</f>
        <v>0000</v>
      </c>
      <c r="T207" s="2">
        <f ca="1">IFERROR(__xludf.DUMMYFUNCTION("""COMPUTED_VALUE"""),2024)</f>
        <v>2024</v>
      </c>
      <c r="U207" s="2" t="str">
        <f ca="1">IFERROR(__xludf.DUMMYFUNCTION("""COMPUTED_VALUE"""),"0291")</f>
        <v>0291</v>
      </c>
      <c r="V207" s="2" t="str">
        <f ca="1">IFERROR(__xludf.DUMMYFUNCTION("""COMPUTED_VALUE"""),"06.001.0010.0301.0094.2039.31.90.11")</f>
        <v>06.001.0010.0301.0094.2039.31.90.11</v>
      </c>
      <c r="W207" s="2" t="str">
        <f ca="1">IFERROR(__xludf.DUMMYFUNCTION("""COMPUTED_VALUE"""),"4942")</f>
        <v>4942</v>
      </c>
      <c r="X207" s="2"/>
      <c r="Y207" s="2"/>
      <c r="Z207" s="2"/>
      <c r="AA207" s="2"/>
      <c r="AB207" s="2"/>
      <c r="AC207" s="2"/>
      <c r="AD207" s="2"/>
      <c r="AE207" s="2"/>
      <c r="AF207" s="2"/>
    </row>
    <row r="208" spans="1:32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>
        <f ca="1">IFERROR(__xludf.DUMMYFUNCTION("""COMPUTED_VALUE"""),2023)</f>
        <v>2023</v>
      </c>
      <c r="Q208" s="2" t="str">
        <f ca="1">IFERROR(__xludf.DUMMYFUNCTION("""COMPUTED_VALUE"""),"0248")</f>
        <v>0248</v>
      </c>
      <c r="R208" s="2" t="str">
        <f ca="1">IFERROR(__xludf.DUMMYFUNCTION("""COMPUTED_VALUE"""),"08.003.0008.0244.0118.2030.33.90.30")</f>
        <v>08.003.0008.0244.0118.2030.33.90.30</v>
      </c>
      <c r="S208" s="2" t="str">
        <f ca="1">IFERROR(__xludf.DUMMYFUNCTION("""COMPUTED_VALUE"""),"00934")</f>
        <v>00934</v>
      </c>
      <c r="T208" s="2">
        <f ca="1">IFERROR(__xludf.DUMMYFUNCTION("""COMPUTED_VALUE"""),2024)</f>
        <v>2024</v>
      </c>
      <c r="U208" s="2" t="str">
        <f ca="1">IFERROR(__xludf.DUMMYFUNCTION("""COMPUTED_VALUE"""),"0307")</f>
        <v>0307</v>
      </c>
      <c r="V208" s="2" t="str">
        <f ca="1">IFERROR(__xludf.DUMMYFUNCTION("""COMPUTED_VALUE"""),"06.001.0010.0301.0094.2039.31.90.13")</f>
        <v>06.001.0010.0301.0094.2039.31.90.13</v>
      </c>
      <c r="W208" s="2" t="str">
        <f ca="1">IFERROR(__xludf.DUMMYFUNCTION("""COMPUTED_VALUE"""),"10510")</f>
        <v>10510</v>
      </c>
      <c r="X208" s="2"/>
      <c r="Y208" s="2"/>
      <c r="Z208" s="2"/>
      <c r="AA208" s="2"/>
      <c r="AB208" s="2"/>
      <c r="AC208" s="2"/>
      <c r="AD208" s="2"/>
      <c r="AE208" s="2"/>
      <c r="AF208" s="2"/>
    </row>
    <row r="209" spans="1:32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>
        <f ca="1">IFERROR(__xludf.DUMMYFUNCTION("""COMPUTED_VALUE"""),2023)</f>
        <v>2023</v>
      </c>
      <c r="Q209" s="2" t="str">
        <f ca="1">IFERROR(__xludf.DUMMYFUNCTION("""COMPUTED_VALUE"""),"0249")</f>
        <v>0249</v>
      </c>
      <c r="R209" s="2" t="str">
        <f ca="1">IFERROR(__xludf.DUMMYFUNCTION("""COMPUTED_VALUE"""),"08.003.0008.0244.0118.2030.33.90.30")</f>
        <v>08.003.0008.0244.0118.2030.33.90.30</v>
      </c>
      <c r="S209" s="2" t="str">
        <f ca="1">IFERROR(__xludf.DUMMYFUNCTION("""COMPUTED_VALUE"""),"00936")</f>
        <v>00936</v>
      </c>
      <c r="T209" s="2">
        <f ca="1">IFERROR(__xludf.DUMMYFUNCTION("""COMPUTED_VALUE"""),2024)</f>
        <v>2024</v>
      </c>
      <c r="U209" s="2" t="str">
        <f ca="1">IFERROR(__xludf.DUMMYFUNCTION("""COMPUTED_VALUE"""),"0273")</f>
        <v>0273</v>
      </c>
      <c r="V209" s="2" t="str">
        <f ca="1">IFERROR(__xludf.DUMMYFUNCTION("""COMPUTED_VALUE"""),"06.001.0010.0301.0094.2039.31.90.13")</f>
        <v>06.001.0010.0301.0094.2039.31.90.13</v>
      </c>
      <c r="W209" s="2" t="str">
        <f ca="1">IFERROR(__xludf.DUMMYFUNCTION("""COMPUTED_VALUE"""),"303")</f>
        <v>303</v>
      </c>
      <c r="X209" s="2"/>
      <c r="Y209" s="2"/>
      <c r="Z209" s="2"/>
      <c r="AA209" s="2"/>
      <c r="AB209" s="2"/>
      <c r="AC209" s="2"/>
      <c r="AD209" s="2"/>
      <c r="AE209" s="2"/>
      <c r="AF209" s="2"/>
    </row>
    <row r="210" spans="1:32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>
        <f ca="1">IFERROR(__xludf.DUMMYFUNCTION("""COMPUTED_VALUE"""),2023)</f>
        <v>2023</v>
      </c>
      <c r="Q210" s="2" t="str">
        <f ca="1">IFERROR(__xludf.DUMMYFUNCTION("""COMPUTED_VALUE"""),"0250")</f>
        <v>0250</v>
      </c>
      <c r="R210" s="2" t="str">
        <f ca="1">IFERROR(__xludf.DUMMYFUNCTION("""COMPUTED_VALUE"""),"08.003.0008.0244.0118.2030.33.90.30")</f>
        <v>08.003.0008.0244.0118.2030.33.90.30</v>
      </c>
      <c r="S210" s="2" t="str">
        <f ca="1">IFERROR(__xludf.DUMMYFUNCTION("""COMPUTED_VALUE"""),"00940")</f>
        <v>00940</v>
      </c>
      <c r="T210" s="2">
        <f ca="1">IFERROR(__xludf.DUMMYFUNCTION("""COMPUTED_VALUE"""),2024)</f>
        <v>2024</v>
      </c>
      <c r="U210" s="2" t="str">
        <f ca="1">IFERROR(__xludf.DUMMYFUNCTION("""COMPUTED_VALUE"""),"0292")</f>
        <v>0292</v>
      </c>
      <c r="V210" s="2" t="str">
        <f ca="1">IFERROR(__xludf.DUMMYFUNCTION("""COMPUTED_VALUE"""),"06.001.0010.0301.0094.2039.31.90.94")</f>
        <v>06.001.0010.0301.0094.2039.31.90.94</v>
      </c>
      <c r="W210" s="2" t="str">
        <f ca="1">IFERROR(__xludf.DUMMYFUNCTION("""COMPUTED_VALUE"""),"4942")</f>
        <v>4942</v>
      </c>
      <c r="X210" s="2"/>
      <c r="Y210" s="2"/>
      <c r="Z210" s="2"/>
      <c r="AA210" s="2"/>
      <c r="AB210" s="2"/>
      <c r="AC210" s="2"/>
      <c r="AD210" s="2"/>
      <c r="AE210" s="2"/>
      <c r="AF210" s="2"/>
    </row>
    <row r="211" spans="1:32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>
        <f ca="1">IFERROR(__xludf.DUMMYFUNCTION("""COMPUTED_VALUE"""),2023)</f>
        <v>2023</v>
      </c>
      <c r="Q211" s="2" t="str">
        <f ca="1">IFERROR(__xludf.DUMMYFUNCTION("""COMPUTED_VALUE"""),"0251")</f>
        <v>0251</v>
      </c>
      <c r="R211" s="2" t="str">
        <f ca="1">IFERROR(__xludf.DUMMYFUNCTION("""COMPUTED_VALUE"""),"08.003.0008.0244.0118.2030.33.90.30")</f>
        <v>08.003.0008.0244.0118.2030.33.90.30</v>
      </c>
      <c r="S211" s="2" t="str">
        <f ca="1">IFERROR(__xludf.DUMMYFUNCTION("""COMPUTED_VALUE"""),"00941")</f>
        <v>00941</v>
      </c>
      <c r="T211" s="2">
        <f ca="1">IFERROR(__xludf.DUMMYFUNCTION("""COMPUTED_VALUE"""),2024)</f>
        <v>2024</v>
      </c>
      <c r="U211" s="2" t="str">
        <f ca="1">IFERROR(__xludf.DUMMYFUNCTION("""COMPUTED_VALUE"""),"0274")</f>
        <v>0274</v>
      </c>
      <c r="V211" s="2" t="str">
        <f ca="1">IFERROR(__xludf.DUMMYFUNCTION("""COMPUTED_VALUE"""),"06.001.0010.0301.0094.2039.31.90.94")</f>
        <v>06.001.0010.0301.0094.2039.31.90.94</v>
      </c>
      <c r="W211" s="2" t="str">
        <f ca="1">IFERROR(__xludf.DUMMYFUNCTION("""COMPUTED_VALUE"""),"303")</f>
        <v>303</v>
      </c>
      <c r="X211" s="2"/>
      <c r="Y211" s="2"/>
      <c r="Z211" s="2"/>
      <c r="AA211" s="2"/>
      <c r="AB211" s="2"/>
      <c r="AC211" s="2"/>
      <c r="AD211" s="2"/>
      <c r="AE211" s="2"/>
      <c r="AF211" s="2"/>
    </row>
    <row r="212" spans="1:3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>
        <f ca="1">IFERROR(__xludf.DUMMYFUNCTION("""COMPUTED_VALUE"""),2023)</f>
        <v>2023</v>
      </c>
      <c r="Q212" s="2" t="str">
        <f ca="1">IFERROR(__xludf.DUMMYFUNCTION("""COMPUTED_VALUE"""),"0252")</f>
        <v>0252</v>
      </c>
      <c r="R212" s="2" t="str">
        <f ca="1">IFERROR(__xludf.DUMMYFUNCTION("""COMPUTED_VALUE"""),"08.003.0008.0244.0118.2030.33.90.30")</f>
        <v>08.003.0008.0244.0118.2030.33.90.30</v>
      </c>
      <c r="S212" s="2" t="str">
        <f ca="1">IFERROR(__xludf.DUMMYFUNCTION("""COMPUTED_VALUE"""),"09381")</f>
        <v>09381</v>
      </c>
      <c r="T212" s="2">
        <f ca="1">IFERROR(__xludf.DUMMYFUNCTION("""COMPUTED_VALUE"""),2024)</f>
        <v>2024</v>
      </c>
      <c r="U212" s="2" t="str">
        <f ca="1">IFERROR(__xludf.DUMMYFUNCTION("""COMPUTED_VALUE"""),"0293")</f>
        <v>0293</v>
      </c>
      <c r="V212" s="2" t="str">
        <f ca="1">IFERROR(__xludf.DUMMYFUNCTION("""COMPUTED_VALUE"""),"06.001.0010.0301.0094.2039.31.91.13")</f>
        <v>06.001.0010.0301.0094.2039.31.91.13</v>
      </c>
      <c r="W212" s="2" t="str">
        <f ca="1">IFERROR(__xludf.DUMMYFUNCTION("""COMPUTED_VALUE"""),"4942")</f>
        <v>4942</v>
      </c>
      <c r="X212" s="2"/>
      <c r="Y212" s="2"/>
      <c r="Z212" s="2"/>
      <c r="AA212" s="2"/>
      <c r="AB212" s="2"/>
      <c r="AC212" s="2"/>
      <c r="AD212" s="2"/>
      <c r="AE212" s="2"/>
      <c r="AF212" s="2"/>
    </row>
    <row r="213" spans="1:32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>
        <f ca="1">IFERROR(__xludf.DUMMYFUNCTION("""COMPUTED_VALUE"""),2023)</f>
        <v>2023</v>
      </c>
      <c r="Q213" s="2" t="str">
        <f ca="1">IFERROR(__xludf.DUMMYFUNCTION("""COMPUTED_VALUE"""),"0253")</f>
        <v>0253</v>
      </c>
      <c r="R213" s="2" t="str">
        <f ca="1">IFERROR(__xludf.DUMMYFUNCTION("""COMPUTED_VALUE"""),"08.007.0008.0241.0118.2031.33.90.30")</f>
        <v>08.007.0008.0241.0118.2031.33.90.30</v>
      </c>
      <c r="S213" s="2" t="str">
        <f ca="1">IFERROR(__xludf.DUMMYFUNCTION("""COMPUTED_VALUE"""),"0000")</f>
        <v>0000</v>
      </c>
      <c r="T213" s="2">
        <f ca="1">IFERROR(__xludf.DUMMYFUNCTION("""COMPUTED_VALUE"""),2024)</f>
        <v>2024</v>
      </c>
      <c r="U213" s="2" t="str">
        <f ca="1">IFERROR(__xludf.DUMMYFUNCTION("""COMPUTED_VALUE"""),"0275")</f>
        <v>0275</v>
      </c>
      <c r="V213" s="2" t="str">
        <f ca="1">IFERROR(__xludf.DUMMYFUNCTION("""COMPUTED_VALUE"""),"06.001.0010.0301.0094.2039.31.91.13")</f>
        <v>06.001.0010.0301.0094.2039.31.91.13</v>
      </c>
      <c r="W213" s="2" t="str">
        <f ca="1">IFERROR(__xludf.DUMMYFUNCTION("""COMPUTED_VALUE"""),"303")</f>
        <v>303</v>
      </c>
      <c r="X213" s="2"/>
      <c r="Y213" s="2"/>
      <c r="Z213" s="2"/>
      <c r="AA213" s="2"/>
      <c r="AB213" s="2"/>
      <c r="AC213" s="2"/>
      <c r="AD213" s="2"/>
      <c r="AE213" s="2"/>
      <c r="AF213" s="2"/>
    </row>
    <row r="214" spans="1:32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>
        <f ca="1">IFERROR(__xludf.DUMMYFUNCTION("""COMPUTED_VALUE"""),2023)</f>
        <v>2023</v>
      </c>
      <c r="Q214" s="2" t="str">
        <f ca="1">IFERROR(__xludf.DUMMYFUNCTION("""COMPUTED_VALUE"""),"0254")</f>
        <v>0254</v>
      </c>
      <c r="R214" s="2" t="str">
        <f ca="1">IFERROR(__xludf.DUMMYFUNCTION("""COMPUTED_VALUE"""),"08.003.0008.0243.0118.6000.33.90.30")</f>
        <v>08.003.0008.0243.0118.6000.33.90.30</v>
      </c>
      <c r="S214" s="2" t="str">
        <f ca="1">IFERROR(__xludf.DUMMYFUNCTION("""COMPUTED_VALUE"""),"0000")</f>
        <v>0000</v>
      </c>
      <c r="T214" s="2">
        <f ca="1">IFERROR(__xludf.DUMMYFUNCTION("""COMPUTED_VALUE"""),2024)</f>
        <v>2024</v>
      </c>
      <c r="U214" s="2" t="str">
        <f ca="1">IFERROR(__xludf.DUMMYFUNCTION("""COMPUTED_VALUE"""),"0294")</f>
        <v>0294</v>
      </c>
      <c r="V214" s="2" t="str">
        <f ca="1">IFERROR(__xludf.DUMMYFUNCTION("""COMPUTED_VALUE"""),"06.001.0010.0301.0094.2039.33.71.70")</f>
        <v>06.001.0010.0301.0094.2039.33.71.70</v>
      </c>
      <c r="W214" s="2" t="str">
        <f ca="1">IFERROR(__xludf.DUMMYFUNCTION("""COMPUTED_VALUE"""),"4942")</f>
        <v>4942</v>
      </c>
      <c r="X214" s="2"/>
      <c r="Y214" s="2"/>
      <c r="Z214" s="2"/>
      <c r="AA214" s="2"/>
      <c r="AB214" s="2"/>
      <c r="AC214" s="2"/>
      <c r="AD214" s="2"/>
      <c r="AE214" s="2"/>
      <c r="AF214" s="2"/>
    </row>
    <row r="215" spans="1:32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>
        <f ca="1">IFERROR(__xludf.DUMMYFUNCTION("""COMPUTED_VALUE"""),2023)</f>
        <v>2023</v>
      </c>
      <c r="Q215" s="2" t="str">
        <f ca="1">IFERROR(__xludf.DUMMYFUNCTION("""COMPUTED_VALUE"""),"0255")</f>
        <v>0255</v>
      </c>
      <c r="R215" s="2" t="str">
        <f ca="1">IFERROR(__xludf.DUMMYFUNCTION("""COMPUTED_VALUE"""),"08.003.0008.0243.0118.6000.33.90.30")</f>
        <v>08.003.0008.0243.0118.6000.33.90.30</v>
      </c>
      <c r="S215" s="2" t="str">
        <f ca="1">IFERROR(__xludf.DUMMYFUNCTION("""COMPUTED_VALUE"""),"00935")</f>
        <v>00935</v>
      </c>
      <c r="T215" s="2">
        <f ca="1">IFERROR(__xludf.DUMMYFUNCTION("""COMPUTED_VALUE"""),2024)</f>
        <v>2024</v>
      </c>
      <c r="U215" s="2" t="str">
        <f ca="1">IFERROR(__xludf.DUMMYFUNCTION("""COMPUTED_VALUE"""),"0276")</f>
        <v>0276</v>
      </c>
      <c r="V215" s="2" t="str">
        <f ca="1">IFERROR(__xludf.DUMMYFUNCTION("""COMPUTED_VALUE"""),"06.001.0010.0301.0094.2039.33.72.30")</f>
        <v>06.001.0010.0301.0094.2039.33.72.30</v>
      </c>
      <c r="W215" s="2" t="str">
        <f ca="1">IFERROR(__xludf.DUMMYFUNCTION("""COMPUTED_VALUE"""),"303")</f>
        <v>303</v>
      </c>
      <c r="X215" s="2"/>
      <c r="Y215" s="2"/>
      <c r="Z215" s="2"/>
      <c r="AA215" s="2"/>
      <c r="AB215" s="2"/>
      <c r="AC215" s="2"/>
      <c r="AD215" s="2"/>
      <c r="AE215" s="2"/>
      <c r="AF215" s="2"/>
    </row>
    <row r="216" spans="1:32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>
        <f ca="1">IFERROR(__xludf.DUMMYFUNCTION("""COMPUTED_VALUE"""),2023)</f>
        <v>2023</v>
      </c>
      <c r="Q216" s="2" t="str">
        <f ca="1">IFERROR(__xludf.DUMMYFUNCTION("""COMPUTED_VALUE"""),"0256")</f>
        <v>0256</v>
      </c>
      <c r="R216" s="2" t="str">
        <f ca="1">IFERROR(__xludf.DUMMYFUNCTION("""COMPUTED_VALUE"""),"08.003.0008.0243.0118.6000.33.90.30")</f>
        <v>08.003.0008.0243.0118.6000.33.90.30</v>
      </c>
      <c r="S216" s="2" t="str">
        <f ca="1">IFERROR(__xludf.DUMMYFUNCTION("""COMPUTED_VALUE"""),"09391")</f>
        <v>09391</v>
      </c>
      <c r="T216" s="2">
        <f ca="1">IFERROR(__xludf.DUMMYFUNCTION("""COMPUTED_VALUE"""),2024)</f>
        <v>2024</v>
      </c>
      <c r="U216" s="2" t="str">
        <f ca="1">IFERROR(__xludf.DUMMYFUNCTION("""COMPUTED_VALUE"""),"0295")</f>
        <v>0295</v>
      </c>
      <c r="V216" s="2" t="str">
        <f ca="1">IFERROR(__xludf.DUMMYFUNCTION("""COMPUTED_VALUE"""),"06.001.0010.0301.0094.2039.33.72.32")</f>
        <v>06.001.0010.0301.0094.2039.33.72.32</v>
      </c>
      <c r="W216" s="2" t="str">
        <f ca="1">IFERROR(__xludf.DUMMYFUNCTION("""COMPUTED_VALUE"""),"4942")</f>
        <v>4942</v>
      </c>
      <c r="X216" s="2"/>
      <c r="Y216" s="2"/>
      <c r="Z216" s="2"/>
      <c r="AA216" s="2"/>
      <c r="AB216" s="2"/>
      <c r="AC216" s="2"/>
      <c r="AD216" s="2"/>
      <c r="AE216" s="2"/>
      <c r="AF216" s="2"/>
    </row>
    <row r="217" spans="1:32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>
        <f ca="1">IFERROR(__xludf.DUMMYFUNCTION("""COMPUTED_VALUE"""),2023)</f>
        <v>2023</v>
      </c>
      <c r="Q217" s="2" t="str">
        <f ca="1">IFERROR(__xludf.DUMMYFUNCTION("""COMPUTED_VALUE"""),"0257")</f>
        <v>0257</v>
      </c>
      <c r="R217" s="2" t="str">
        <f ca="1">IFERROR(__xludf.DUMMYFUNCTION("""COMPUTED_VALUE"""),"08.005.0008.0243.0118.6001.33.90.30")</f>
        <v>08.005.0008.0243.0118.6001.33.90.30</v>
      </c>
      <c r="S217" s="2" t="str">
        <f ca="1">IFERROR(__xludf.DUMMYFUNCTION("""COMPUTED_VALUE"""),"0000")</f>
        <v>0000</v>
      </c>
      <c r="T217" s="2">
        <f ca="1">IFERROR(__xludf.DUMMYFUNCTION("""COMPUTED_VALUE"""),2024)</f>
        <v>2024</v>
      </c>
      <c r="U217" s="2" t="str">
        <f ca="1">IFERROR(__xludf.DUMMYFUNCTION("""COMPUTED_VALUE"""),"0277")</f>
        <v>0277</v>
      </c>
      <c r="V217" s="2" t="str">
        <f ca="1">IFERROR(__xludf.DUMMYFUNCTION("""COMPUTED_VALUE"""),"06.001.0010.0301.0094.2039.33.72.32")</f>
        <v>06.001.0010.0301.0094.2039.33.72.32</v>
      </c>
      <c r="W217" s="2" t="str">
        <f ca="1">IFERROR(__xludf.DUMMYFUNCTION("""COMPUTED_VALUE"""),"303")</f>
        <v>303</v>
      </c>
      <c r="X217" s="2"/>
      <c r="Y217" s="2"/>
      <c r="Z217" s="2"/>
      <c r="AA217" s="2"/>
      <c r="AB217" s="2"/>
      <c r="AC217" s="2"/>
      <c r="AD217" s="2"/>
      <c r="AE217" s="2"/>
      <c r="AF217" s="2"/>
    </row>
    <row r="218" spans="1:32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>
        <f ca="1">IFERROR(__xludf.DUMMYFUNCTION("""COMPUTED_VALUE"""),2023)</f>
        <v>2023</v>
      </c>
      <c r="Q218" s="2" t="str">
        <f ca="1">IFERROR(__xludf.DUMMYFUNCTION("""COMPUTED_VALUE"""),"0259")</f>
        <v>0259</v>
      </c>
      <c r="R218" s="2" t="str">
        <f ca="1">IFERROR(__xludf.DUMMYFUNCTION("""COMPUTED_VALUE"""),"16.001.0015.0451.0122.1037.33.90.30")</f>
        <v>16.001.0015.0451.0122.1037.33.90.30</v>
      </c>
      <c r="S218" s="2" t="str">
        <f ca="1">IFERROR(__xludf.DUMMYFUNCTION("""COMPUTED_VALUE"""),"0000")</f>
        <v>0000</v>
      </c>
      <c r="T218" s="2">
        <f ca="1">IFERROR(__xludf.DUMMYFUNCTION("""COMPUTED_VALUE"""),2024)</f>
        <v>2024</v>
      </c>
      <c r="U218" s="2" t="str">
        <f ca="1">IFERROR(__xludf.DUMMYFUNCTION("""COMPUTED_VALUE"""),"0283")</f>
        <v>0283</v>
      </c>
      <c r="V218" s="2" t="str">
        <f ca="1">IFERROR(__xludf.DUMMYFUNCTION("""COMPUTED_VALUE"""),"06.001.0010.0301.0094.2039.33.90.14")</f>
        <v>06.001.0010.0301.0094.2039.33.90.14</v>
      </c>
      <c r="W218" s="2" t="str">
        <f ca="1">IFERROR(__xludf.DUMMYFUNCTION("""COMPUTED_VALUE"""),"4942")</f>
        <v>4942</v>
      </c>
      <c r="X218" s="2"/>
      <c r="Y218" s="2"/>
      <c r="Z218" s="2"/>
      <c r="AA218" s="2"/>
      <c r="AB218" s="2"/>
      <c r="AC218" s="2"/>
      <c r="AD218" s="2"/>
      <c r="AE218" s="2"/>
      <c r="AF218" s="2"/>
    </row>
    <row r="219" spans="1:32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>
        <f ca="1">IFERROR(__xludf.DUMMYFUNCTION("""COMPUTED_VALUE"""),2023)</f>
        <v>2023</v>
      </c>
      <c r="Q219" s="2" t="str">
        <f ca="1">IFERROR(__xludf.DUMMYFUNCTION("""COMPUTED_VALUE"""),"0260")</f>
        <v>0260</v>
      </c>
      <c r="R219" s="2" t="str">
        <f ca="1">IFERROR(__xludf.DUMMYFUNCTION("""COMPUTED_VALUE"""),"16.001.0015.0451.0122.2085.33.90.30")</f>
        <v>16.001.0015.0451.0122.2085.33.90.30</v>
      </c>
      <c r="S219" s="2" t="str">
        <f ca="1">IFERROR(__xludf.DUMMYFUNCTION("""COMPUTED_VALUE"""),"0000")</f>
        <v>0000</v>
      </c>
      <c r="T219" s="2">
        <f ca="1">IFERROR(__xludf.DUMMYFUNCTION("""COMPUTED_VALUE"""),2024)</f>
        <v>2024</v>
      </c>
      <c r="U219" s="2" t="str">
        <f ca="1">IFERROR(__xludf.DUMMYFUNCTION("""COMPUTED_VALUE"""),"0296")</f>
        <v>0296</v>
      </c>
      <c r="V219" s="2" t="str">
        <f ca="1">IFERROR(__xludf.DUMMYFUNCTION("""COMPUTED_VALUE"""),"06.001.0010.0301.0094.2039.33.90.30")</f>
        <v>06.001.0010.0301.0094.2039.33.90.30</v>
      </c>
      <c r="W219" s="2" t="str">
        <f ca="1">IFERROR(__xludf.DUMMYFUNCTION("""COMPUTED_VALUE"""),"4942")</f>
        <v>4942</v>
      </c>
      <c r="X219" s="2"/>
      <c r="Y219" s="2"/>
      <c r="Z219" s="2"/>
      <c r="AA219" s="2"/>
      <c r="AB219" s="2"/>
      <c r="AC219" s="2"/>
      <c r="AD219" s="2"/>
      <c r="AE219" s="2"/>
      <c r="AF219" s="2"/>
    </row>
    <row r="220" spans="1:32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>
        <f ca="1">IFERROR(__xludf.DUMMYFUNCTION("""COMPUTED_VALUE"""),2023)</f>
        <v>2023</v>
      </c>
      <c r="Q220" s="2" t="str">
        <f ca="1">IFERROR(__xludf.DUMMYFUNCTION("""COMPUTED_VALUE"""),"0261")</f>
        <v>0261</v>
      </c>
      <c r="R220" s="2" t="str">
        <f ca="1">IFERROR(__xludf.DUMMYFUNCTION("""COMPUTED_VALUE"""),"16.001.0015.0451.0122.2085.33.90.30")</f>
        <v>16.001.0015.0451.0122.2085.33.90.30</v>
      </c>
      <c r="S220" s="2" t="str">
        <f ca="1">IFERROR(__xludf.DUMMYFUNCTION("""COMPUTED_VALUE"""),"05104")</f>
        <v>05104</v>
      </c>
      <c r="T220" s="2">
        <f ca="1">IFERROR(__xludf.DUMMYFUNCTION("""COMPUTED_VALUE"""),2024)</f>
        <v>2024</v>
      </c>
      <c r="U220" s="2" t="str">
        <f ca="1">IFERROR(__xludf.DUMMYFUNCTION("""COMPUTED_VALUE"""),"0278")</f>
        <v>0278</v>
      </c>
      <c r="V220" s="2" t="str">
        <f ca="1">IFERROR(__xludf.DUMMYFUNCTION("""COMPUTED_VALUE"""),"06.001.0010.0301.0094.2039.33.90.30")</f>
        <v>06.001.0010.0301.0094.2039.33.90.30</v>
      </c>
      <c r="W220" s="2" t="str">
        <f ca="1">IFERROR(__xludf.DUMMYFUNCTION("""COMPUTED_VALUE"""),"303")</f>
        <v>303</v>
      </c>
      <c r="X220" s="2"/>
      <c r="Y220" s="2"/>
      <c r="Z220" s="2"/>
      <c r="AA220" s="2"/>
      <c r="AB220" s="2"/>
      <c r="AC220" s="2"/>
      <c r="AD220" s="2"/>
      <c r="AE220" s="2"/>
      <c r="AF220" s="2"/>
    </row>
    <row r="221" spans="1:32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>
        <f ca="1">IFERROR(__xludf.DUMMYFUNCTION("""COMPUTED_VALUE"""),2023)</f>
        <v>2023</v>
      </c>
      <c r="Q221" s="2" t="str">
        <f ca="1">IFERROR(__xludf.DUMMYFUNCTION("""COMPUTED_VALUE"""),"0262")</f>
        <v>0262</v>
      </c>
      <c r="R221" s="2" t="str">
        <f ca="1">IFERROR(__xludf.DUMMYFUNCTION("""COMPUTED_VALUE"""),"16.002.0015.0451.0122.2103.33.90.30")</f>
        <v>16.002.0015.0451.0122.2103.33.90.30</v>
      </c>
      <c r="S221" s="2" t="str">
        <f ca="1">IFERROR(__xludf.DUMMYFUNCTION("""COMPUTED_VALUE"""),"0000")</f>
        <v>0000</v>
      </c>
      <c r="T221" s="2">
        <f ca="1">IFERROR(__xludf.DUMMYFUNCTION("""COMPUTED_VALUE"""),2024)</f>
        <v>2024</v>
      </c>
      <c r="U221" s="2" t="str">
        <f ca="1">IFERROR(__xludf.DUMMYFUNCTION("""COMPUTED_VALUE"""),"0289")</f>
        <v>0289</v>
      </c>
      <c r="V221" s="2" t="str">
        <f ca="1">IFERROR(__xludf.DUMMYFUNCTION("""COMPUTED_VALUE"""),"06.001.0010.0301.0094.2039.33.90.30")</f>
        <v>06.001.0010.0301.0094.2039.33.90.30</v>
      </c>
      <c r="W221" s="2" t="str">
        <f ca="1">IFERROR(__xludf.DUMMYFUNCTION("""COMPUTED_VALUE"""),"4941")</f>
        <v>4941</v>
      </c>
      <c r="X221" s="2"/>
      <c r="Y221" s="2"/>
      <c r="Z221" s="2"/>
      <c r="AA221" s="2"/>
      <c r="AB221" s="2"/>
      <c r="AC221" s="2"/>
      <c r="AD221" s="2"/>
      <c r="AE221" s="2"/>
      <c r="AF221" s="2"/>
    </row>
    <row r="222" spans="1:3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>
        <f ca="1">IFERROR(__xludf.DUMMYFUNCTION("""COMPUTED_VALUE"""),2023)</f>
        <v>2023</v>
      </c>
      <c r="Q222" s="2" t="str">
        <f ca="1">IFERROR(__xludf.DUMMYFUNCTION("""COMPUTED_VALUE"""),"0263")</f>
        <v>0263</v>
      </c>
      <c r="R222" s="2" t="str">
        <f ca="1">IFERROR(__xludf.DUMMYFUNCTION("""COMPUTED_VALUE"""),"16.002.0015.0451.0122.2103.33.90.30")</f>
        <v>16.002.0015.0451.0122.2103.33.90.30</v>
      </c>
      <c r="S222" s="2" t="str">
        <f ca="1">IFERROR(__xludf.DUMMYFUNCTION("""COMPUTED_VALUE"""),"05104")</f>
        <v>05104</v>
      </c>
      <c r="T222" s="2">
        <f ca="1">IFERROR(__xludf.DUMMYFUNCTION("""COMPUTED_VALUE"""),2024)</f>
        <v>2024</v>
      </c>
      <c r="U222" s="2" t="str">
        <f ca="1">IFERROR(__xludf.DUMMYFUNCTION("""COMPUTED_VALUE"""),"0297")</f>
        <v>0297</v>
      </c>
      <c r="V222" s="2" t="str">
        <f ca="1">IFERROR(__xludf.DUMMYFUNCTION("""COMPUTED_VALUE"""),"06.001.0010.0301.0094.2039.33.90.32")</f>
        <v>06.001.0010.0301.0094.2039.33.90.32</v>
      </c>
      <c r="W222" s="2" t="str">
        <f ca="1">IFERROR(__xludf.DUMMYFUNCTION("""COMPUTED_VALUE"""),"4942")</f>
        <v>4942</v>
      </c>
      <c r="X222" s="2"/>
      <c r="Y222" s="2"/>
      <c r="Z222" s="2"/>
      <c r="AA222" s="2"/>
      <c r="AB222" s="2"/>
      <c r="AC222" s="2"/>
      <c r="AD222" s="2"/>
      <c r="AE222" s="2"/>
      <c r="AF222" s="2"/>
    </row>
    <row r="223" spans="1:32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>
        <f ca="1">IFERROR(__xludf.DUMMYFUNCTION("""COMPUTED_VALUE"""),2023)</f>
        <v>2023</v>
      </c>
      <c r="Q223" s="2" t="str">
        <f ca="1">IFERROR(__xludf.DUMMYFUNCTION("""COMPUTED_VALUE"""),"0264")</f>
        <v>0264</v>
      </c>
      <c r="R223" s="2" t="str">
        <f ca="1">IFERROR(__xludf.DUMMYFUNCTION("""COMPUTED_VALUE"""),"03.002.0016.0482.0122.2118.33.90.30")</f>
        <v>03.002.0016.0482.0122.2118.33.90.30</v>
      </c>
      <c r="S223" s="2" t="str">
        <f ca="1">IFERROR(__xludf.DUMMYFUNCTION("""COMPUTED_VALUE"""),"00037")</f>
        <v>00037</v>
      </c>
      <c r="T223" s="2">
        <f ca="1">IFERROR(__xludf.DUMMYFUNCTION("""COMPUTED_VALUE"""),2024)</f>
        <v>2024</v>
      </c>
      <c r="U223" s="2" t="str">
        <f ca="1">IFERROR(__xludf.DUMMYFUNCTION("""COMPUTED_VALUE"""),"0279")</f>
        <v>0279</v>
      </c>
      <c r="V223" s="2" t="str">
        <f ca="1">IFERROR(__xludf.DUMMYFUNCTION("""COMPUTED_VALUE"""),"06.001.0010.0301.0094.2039.33.90.32")</f>
        <v>06.001.0010.0301.0094.2039.33.90.32</v>
      </c>
      <c r="W223" s="2" t="str">
        <f ca="1">IFERROR(__xludf.DUMMYFUNCTION("""COMPUTED_VALUE"""),"303")</f>
        <v>303</v>
      </c>
      <c r="X223" s="2"/>
      <c r="Y223" s="2"/>
      <c r="Z223" s="2"/>
      <c r="AA223" s="2"/>
      <c r="AB223" s="2"/>
      <c r="AC223" s="2"/>
      <c r="AD223" s="2"/>
      <c r="AE223" s="2"/>
      <c r="AF223" s="2"/>
    </row>
    <row r="224" spans="1:32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>
        <f ca="1">IFERROR(__xludf.DUMMYFUNCTION("""COMPUTED_VALUE"""),2023)</f>
        <v>2023</v>
      </c>
      <c r="Q224" s="2" t="str">
        <f ca="1">IFERROR(__xludf.DUMMYFUNCTION("""COMPUTED_VALUE"""),"0265")</f>
        <v>0265</v>
      </c>
      <c r="R224" s="2" t="str">
        <f ca="1">IFERROR(__xludf.DUMMYFUNCTION("""COMPUTED_VALUE"""),"10.004.0018.0541.0123.1200.33.90.30")</f>
        <v>10.004.0018.0541.0123.1200.33.90.30</v>
      </c>
      <c r="S224" s="2" t="str">
        <f ca="1">IFERROR(__xludf.DUMMYFUNCTION("""COMPUTED_VALUE"""),"0000")</f>
        <v>0000</v>
      </c>
      <c r="T224" s="2">
        <f ca="1">IFERROR(__xludf.DUMMYFUNCTION("""COMPUTED_VALUE"""),2024)</f>
        <v>2024</v>
      </c>
      <c r="U224" s="2" t="str">
        <f ca="1">IFERROR(__xludf.DUMMYFUNCTION("""COMPUTED_VALUE"""),"0298")</f>
        <v>0298</v>
      </c>
      <c r="V224" s="2" t="str">
        <f ca="1">IFERROR(__xludf.DUMMYFUNCTION("""COMPUTED_VALUE"""),"06.001.0010.0301.0094.2039.33.90.33")</f>
        <v>06.001.0010.0301.0094.2039.33.90.33</v>
      </c>
      <c r="W224" s="2" t="str">
        <f ca="1">IFERROR(__xludf.DUMMYFUNCTION("""COMPUTED_VALUE"""),"4942")</f>
        <v>4942</v>
      </c>
      <c r="X224" s="2"/>
      <c r="Y224" s="2"/>
      <c r="Z224" s="2"/>
      <c r="AA224" s="2"/>
      <c r="AB224" s="2"/>
      <c r="AC224" s="2"/>
      <c r="AD224" s="2"/>
      <c r="AE224" s="2"/>
      <c r="AF224" s="2"/>
    </row>
    <row r="225" spans="1:32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>
        <f ca="1">IFERROR(__xludf.DUMMYFUNCTION("""COMPUTED_VALUE"""),2023)</f>
        <v>2023</v>
      </c>
      <c r="Q225" s="2" t="str">
        <f ca="1">IFERROR(__xludf.DUMMYFUNCTION("""COMPUTED_VALUE"""),"0266")</f>
        <v>0266</v>
      </c>
      <c r="R225" s="2" t="str">
        <f ca="1">IFERROR(__xludf.DUMMYFUNCTION("""COMPUTED_VALUE"""),"10.001.0004.0122.0123.2109.33.90.30")</f>
        <v>10.001.0004.0122.0123.2109.33.90.30</v>
      </c>
      <c r="S225" s="2" t="str">
        <f ca="1">IFERROR(__xludf.DUMMYFUNCTION("""COMPUTED_VALUE"""),"0000")</f>
        <v>0000</v>
      </c>
      <c r="T225" s="2">
        <f ca="1">IFERROR(__xludf.DUMMYFUNCTION("""COMPUTED_VALUE"""),2024)</f>
        <v>2024</v>
      </c>
      <c r="U225" s="2" t="str">
        <f ca="1">IFERROR(__xludf.DUMMYFUNCTION("""COMPUTED_VALUE"""),"0299")</f>
        <v>0299</v>
      </c>
      <c r="V225" s="2" t="str">
        <f ca="1">IFERROR(__xludf.DUMMYFUNCTION("""COMPUTED_VALUE"""),"06.001.0010.0301.0094.2039.33.90.36")</f>
        <v>06.001.0010.0301.0094.2039.33.90.36</v>
      </c>
      <c r="W225" s="2" t="str">
        <f ca="1">IFERROR(__xludf.DUMMYFUNCTION("""COMPUTED_VALUE"""),"4942")</f>
        <v>4942</v>
      </c>
      <c r="X225" s="2"/>
      <c r="Y225" s="2"/>
      <c r="Z225" s="2"/>
      <c r="AA225" s="2"/>
      <c r="AB225" s="2"/>
      <c r="AC225" s="2"/>
      <c r="AD225" s="2"/>
      <c r="AE225" s="2"/>
      <c r="AF225" s="2"/>
    </row>
    <row r="226" spans="1:32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>
        <f ca="1">IFERROR(__xludf.DUMMYFUNCTION("""COMPUTED_VALUE"""),2023)</f>
        <v>2023</v>
      </c>
      <c r="Q226" s="2" t="str">
        <f ca="1">IFERROR(__xludf.DUMMYFUNCTION("""COMPUTED_VALUE"""),"0267")</f>
        <v>0267</v>
      </c>
      <c r="R226" s="2" t="str">
        <f ca="1">IFERROR(__xludf.DUMMYFUNCTION("""COMPUTED_VALUE"""),"10.002.0018.0541.0123.2110.33.90.30")</f>
        <v>10.002.0018.0541.0123.2110.33.90.30</v>
      </c>
      <c r="S226" s="2" t="str">
        <f ca="1">IFERROR(__xludf.DUMMYFUNCTION("""COMPUTED_VALUE"""),"0000")</f>
        <v>0000</v>
      </c>
      <c r="T226" s="2">
        <f ca="1">IFERROR(__xludf.DUMMYFUNCTION("""COMPUTED_VALUE"""),2024)</f>
        <v>2024</v>
      </c>
      <c r="U226" s="2" t="str">
        <f ca="1">IFERROR(__xludf.DUMMYFUNCTION("""COMPUTED_VALUE"""),"0300")</f>
        <v>0300</v>
      </c>
      <c r="V226" s="2" t="str">
        <f ca="1">IFERROR(__xludf.DUMMYFUNCTION("""COMPUTED_VALUE"""),"06.001.0010.0301.0094.2039.33.90.37")</f>
        <v>06.001.0010.0301.0094.2039.33.90.37</v>
      </c>
      <c r="W226" s="2" t="str">
        <f ca="1">IFERROR(__xludf.DUMMYFUNCTION("""COMPUTED_VALUE"""),"4942")</f>
        <v>4942</v>
      </c>
      <c r="X226" s="2"/>
      <c r="Y226" s="2"/>
      <c r="Z226" s="2"/>
      <c r="AA226" s="2"/>
      <c r="AB226" s="2"/>
      <c r="AC226" s="2"/>
      <c r="AD226" s="2"/>
      <c r="AE226" s="2"/>
      <c r="AF226" s="2"/>
    </row>
    <row r="227" spans="1:32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>
        <f ca="1">IFERROR(__xludf.DUMMYFUNCTION("""COMPUTED_VALUE"""),2023)</f>
        <v>2023</v>
      </c>
      <c r="Q227" s="2" t="str">
        <f ca="1">IFERROR(__xludf.DUMMYFUNCTION("""COMPUTED_VALUE"""),"0268")</f>
        <v>0268</v>
      </c>
      <c r="R227" s="2" t="str">
        <f ca="1">IFERROR(__xludf.DUMMYFUNCTION("""COMPUTED_VALUE"""),"10.005.0018.0541.0123.2112.33.90.30")</f>
        <v>10.005.0018.0541.0123.2112.33.90.30</v>
      </c>
      <c r="S227" s="2" t="str">
        <f ca="1">IFERROR(__xludf.DUMMYFUNCTION("""COMPUTED_VALUE"""),"0000")</f>
        <v>0000</v>
      </c>
      <c r="T227" s="2">
        <f ca="1">IFERROR(__xludf.DUMMYFUNCTION("""COMPUTED_VALUE"""),2024)</f>
        <v>2024</v>
      </c>
      <c r="U227" s="2" t="str">
        <f ca="1">IFERROR(__xludf.DUMMYFUNCTION("""COMPUTED_VALUE"""),"0301")</f>
        <v>0301</v>
      </c>
      <c r="V227" s="2" t="str">
        <f ca="1">IFERROR(__xludf.DUMMYFUNCTION("""COMPUTED_VALUE"""),"06.001.0010.0301.0094.2039.33.90.39")</f>
        <v>06.001.0010.0301.0094.2039.33.90.39</v>
      </c>
      <c r="W227" s="2" t="str">
        <f ca="1">IFERROR(__xludf.DUMMYFUNCTION("""COMPUTED_VALUE"""),"4942")</f>
        <v>4942</v>
      </c>
      <c r="X227" s="2"/>
      <c r="Y227" s="2"/>
      <c r="Z227" s="2"/>
      <c r="AA227" s="2"/>
      <c r="AB227" s="2"/>
      <c r="AC227" s="2"/>
      <c r="AD227" s="2"/>
      <c r="AE227" s="2"/>
      <c r="AF227" s="2"/>
    </row>
    <row r="228" spans="1:32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>
        <f ca="1">IFERROR(__xludf.DUMMYFUNCTION("""COMPUTED_VALUE"""),2023)</f>
        <v>2023</v>
      </c>
      <c r="Q228" s="2" t="str">
        <f ca="1">IFERROR(__xludf.DUMMYFUNCTION("""COMPUTED_VALUE"""),"0269")</f>
        <v>0269</v>
      </c>
      <c r="R228" s="2" t="str">
        <f ca="1">IFERROR(__xludf.DUMMYFUNCTION("""COMPUTED_VALUE"""),"10.008.0018.0542.0123.2113.33.90.30")</f>
        <v>10.008.0018.0542.0123.2113.33.90.30</v>
      </c>
      <c r="S228" s="2" t="str">
        <f ca="1">IFERROR(__xludf.DUMMYFUNCTION("""COMPUTED_VALUE"""),"0000")</f>
        <v>0000</v>
      </c>
      <c r="T228" s="2">
        <f ca="1">IFERROR(__xludf.DUMMYFUNCTION("""COMPUTED_VALUE"""),2024)</f>
        <v>2024</v>
      </c>
      <c r="U228" s="2" t="str">
        <f ca="1">IFERROR(__xludf.DUMMYFUNCTION("""COMPUTED_VALUE"""),"0280")</f>
        <v>0280</v>
      </c>
      <c r="V228" s="2" t="str">
        <f ca="1">IFERROR(__xludf.DUMMYFUNCTION("""COMPUTED_VALUE"""),"06.001.0010.0301.0094.2039.33.90.39")</f>
        <v>06.001.0010.0301.0094.2039.33.90.39</v>
      </c>
      <c r="W228" s="2" t="str">
        <f ca="1">IFERROR(__xludf.DUMMYFUNCTION("""COMPUTED_VALUE"""),"303")</f>
        <v>303</v>
      </c>
      <c r="X228" s="2"/>
      <c r="Y228" s="2"/>
      <c r="Z228" s="2"/>
      <c r="AA228" s="2"/>
      <c r="AB228" s="2"/>
      <c r="AC228" s="2"/>
      <c r="AD228" s="2"/>
      <c r="AE228" s="2"/>
      <c r="AF228" s="2"/>
    </row>
    <row r="229" spans="1:32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>
        <f ca="1">IFERROR(__xludf.DUMMYFUNCTION("""COMPUTED_VALUE"""),2023)</f>
        <v>2023</v>
      </c>
      <c r="Q229" s="2" t="str">
        <f ca="1">IFERROR(__xludf.DUMMYFUNCTION("""COMPUTED_VALUE"""),"0270")</f>
        <v>0270</v>
      </c>
      <c r="R229" s="2" t="str">
        <f ca="1">IFERROR(__xludf.DUMMYFUNCTION("""COMPUTED_VALUE"""),"10.006.0018.0541.0123.2114.33.90.30")</f>
        <v>10.006.0018.0541.0123.2114.33.90.30</v>
      </c>
      <c r="S229" s="2" t="str">
        <f ca="1">IFERROR(__xludf.DUMMYFUNCTION("""COMPUTED_VALUE"""),"00555")</f>
        <v>00555</v>
      </c>
      <c r="T229" s="2">
        <f ca="1">IFERROR(__xludf.DUMMYFUNCTION("""COMPUTED_VALUE"""),2024)</f>
        <v>2024</v>
      </c>
      <c r="U229" s="2" t="str">
        <f ca="1">IFERROR(__xludf.DUMMYFUNCTION("""COMPUTED_VALUE"""),"0302")</f>
        <v>0302</v>
      </c>
      <c r="V229" s="2" t="str">
        <f ca="1">IFERROR(__xludf.DUMMYFUNCTION("""COMPUTED_VALUE"""),"06.001.0010.0301.0094.2039.33.90.40")</f>
        <v>06.001.0010.0301.0094.2039.33.90.40</v>
      </c>
      <c r="W229" s="2" t="str">
        <f ca="1">IFERROR(__xludf.DUMMYFUNCTION("""COMPUTED_VALUE"""),"4942")</f>
        <v>4942</v>
      </c>
      <c r="X229" s="2"/>
      <c r="Y229" s="2"/>
      <c r="Z229" s="2"/>
      <c r="AA229" s="2"/>
      <c r="AB229" s="2"/>
      <c r="AC229" s="2"/>
      <c r="AD229" s="2"/>
      <c r="AE229" s="2"/>
      <c r="AF229" s="2"/>
    </row>
    <row r="230" spans="1:32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>
        <f ca="1">IFERROR(__xludf.DUMMYFUNCTION("""COMPUTED_VALUE"""),2023)</f>
        <v>2023</v>
      </c>
      <c r="Q230" s="2" t="str">
        <f ca="1">IFERROR(__xludf.DUMMYFUNCTION("""COMPUTED_VALUE"""),"0271")</f>
        <v>0271</v>
      </c>
      <c r="R230" s="2" t="str">
        <f ca="1">IFERROR(__xludf.DUMMYFUNCTION("""COMPUTED_VALUE"""),"10.007.0018.0541.0123.2115.33.90.30")</f>
        <v>10.007.0018.0541.0123.2115.33.90.30</v>
      </c>
      <c r="S230" s="2" t="str">
        <f ca="1">IFERROR(__xludf.DUMMYFUNCTION("""COMPUTED_VALUE"""),"00555")</f>
        <v>00555</v>
      </c>
      <c r="T230" s="2">
        <f ca="1">IFERROR(__xludf.DUMMYFUNCTION("""COMPUTED_VALUE"""),2024)</f>
        <v>2024</v>
      </c>
      <c r="U230" s="2" t="str">
        <f ca="1">IFERROR(__xludf.DUMMYFUNCTION("""COMPUTED_VALUE"""),"0303")</f>
        <v>0303</v>
      </c>
      <c r="V230" s="2" t="str">
        <f ca="1">IFERROR(__xludf.DUMMYFUNCTION("""COMPUTED_VALUE"""),"06.001.0010.0301.0094.2039.33.90.48")</f>
        <v>06.001.0010.0301.0094.2039.33.90.48</v>
      </c>
      <c r="W230" s="2" t="str">
        <f ca="1">IFERROR(__xludf.DUMMYFUNCTION("""COMPUTED_VALUE"""),"4942")</f>
        <v>4942</v>
      </c>
      <c r="X230" s="2"/>
      <c r="Y230" s="2"/>
      <c r="Z230" s="2"/>
      <c r="AA230" s="2"/>
      <c r="AB230" s="2"/>
      <c r="AC230" s="2"/>
      <c r="AD230" s="2"/>
      <c r="AE230" s="2"/>
      <c r="AF230" s="2"/>
    </row>
    <row r="231" spans="1:32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>
        <f ca="1">IFERROR(__xludf.DUMMYFUNCTION("""COMPUTED_VALUE"""),2023)</f>
        <v>2023</v>
      </c>
      <c r="Q231" s="2" t="str">
        <f ca="1">IFERROR(__xludf.DUMMYFUNCTION("""COMPUTED_VALUE"""),"0275")</f>
        <v>0275</v>
      </c>
      <c r="R231" s="2" t="str">
        <f ca="1">IFERROR(__xludf.DUMMYFUNCTION("""COMPUTED_VALUE"""),"18.003.0015.0121.0140.1030.33.90.30")</f>
        <v>18.003.0015.0121.0140.1030.33.90.30</v>
      </c>
      <c r="S231" s="2" t="str">
        <f ca="1">IFERROR(__xludf.DUMMYFUNCTION("""COMPUTED_VALUE"""),"0000")</f>
        <v>0000</v>
      </c>
      <c r="T231" s="2">
        <f ca="1">IFERROR(__xludf.DUMMYFUNCTION("""COMPUTED_VALUE"""),2024)</f>
        <v>2024</v>
      </c>
      <c r="U231" s="2" t="str">
        <f ca="1">IFERROR(__xludf.DUMMYFUNCTION("""COMPUTED_VALUE"""),"1190")</f>
        <v>1190</v>
      </c>
      <c r="V231" s="2" t="str">
        <f ca="1">IFERROR(__xludf.DUMMYFUNCTION("""COMPUTED_VALUE"""),"06.001.0010.0301.0094.2039.33.90.93")</f>
        <v>06.001.0010.0301.0094.2039.33.90.93</v>
      </c>
      <c r="W231" s="2" t="str">
        <f ca="1">IFERROR(__xludf.DUMMYFUNCTION("""COMPUTED_VALUE"""),"303")</f>
        <v>303</v>
      </c>
      <c r="X231" s="2"/>
      <c r="Y231" s="2"/>
      <c r="Z231" s="2"/>
      <c r="AA231" s="2"/>
      <c r="AB231" s="2"/>
      <c r="AC231" s="2"/>
      <c r="AD231" s="2"/>
      <c r="AE231" s="2"/>
      <c r="AF231" s="2"/>
    </row>
    <row r="232" spans="1: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>
        <f ca="1">IFERROR(__xludf.DUMMYFUNCTION("""COMPUTED_VALUE"""),2023)</f>
        <v>2023</v>
      </c>
      <c r="Q232" s="2" t="str">
        <f ca="1">IFERROR(__xludf.DUMMYFUNCTION("""COMPUTED_VALUE"""),"0276")</f>
        <v>0276</v>
      </c>
      <c r="R232" s="2" t="str">
        <f ca="1">IFERROR(__xludf.DUMMYFUNCTION("""COMPUTED_VALUE"""),"18.003.0015.0121.0140.1030.33.90.30")</f>
        <v>18.003.0015.0121.0140.1030.33.90.30</v>
      </c>
      <c r="S232" s="2" t="str">
        <f ca="1">IFERROR(__xludf.DUMMYFUNCTION("""COMPUTED_VALUE"""),"00509")</f>
        <v>00509</v>
      </c>
      <c r="T232" s="2">
        <f ca="1">IFERROR(__xludf.DUMMYFUNCTION("""COMPUTED_VALUE"""),2024)</f>
        <v>2024</v>
      </c>
      <c r="U232" s="2" t="str">
        <f ca="1">IFERROR(__xludf.DUMMYFUNCTION("""COMPUTED_VALUE"""),"0281")</f>
        <v>0281</v>
      </c>
      <c r="V232" s="2" t="str">
        <f ca="1">IFERROR(__xludf.DUMMYFUNCTION("""COMPUTED_VALUE"""),"06.001.0010.0302.0094.1020.44.90.52")</f>
        <v>06.001.0010.0302.0094.1020.44.90.52</v>
      </c>
      <c r="W232" s="2" t="str">
        <f ca="1">IFERROR(__xludf.DUMMYFUNCTION("""COMPUTED_VALUE"""),"303")</f>
        <v>303</v>
      </c>
      <c r="X232" s="2"/>
      <c r="Y232" s="2"/>
      <c r="Z232" s="2"/>
      <c r="AA232" s="2"/>
      <c r="AB232" s="2"/>
      <c r="AC232" s="2"/>
      <c r="AD232" s="2"/>
      <c r="AE232" s="2"/>
      <c r="AF232" s="2"/>
    </row>
    <row r="233" spans="1:32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>
        <f ca="1">IFERROR(__xludf.DUMMYFUNCTION("""COMPUTED_VALUE"""),2023)</f>
        <v>2023</v>
      </c>
      <c r="Q233" s="2" t="str">
        <f ca="1">IFERROR(__xludf.DUMMYFUNCTION("""COMPUTED_VALUE"""),"0277")</f>
        <v>0277</v>
      </c>
      <c r="R233" s="2" t="str">
        <f ca="1">IFERROR(__xludf.DUMMYFUNCTION("""COMPUTED_VALUE"""),"18.004.0015.0182.0140.1076.33.90.30")</f>
        <v>18.004.0015.0182.0140.1076.33.90.30</v>
      </c>
      <c r="S233" s="2" t="str">
        <f ca="1">IFERROR(__xludf.DUMMYFUNCTION("""COMPUTED_VALUE"""),"0000")</f>
        <v>0000</v>
      </c>
      <c r="T233" s="2">
        <f ca="1">IFERROR(__xludf.DUMMYFUNCTION("""COMPUTED_VALUE"""),2024)</f>
        <v>2024</v>
      </c>
      <c r="U233" s="2" t="str">
        <f ca="1">IFERROR(__xludf.DUMMYFUNCTION("""COMPUTED_VALUE"""),"0310")</f>
        <v>0310</v>
      </c>
      <c r="V233" s="2" t="str">
        <f ca="1">IFERROR(__xludf.DUMMYFUNCTION("""COMPUTED_VALUE"""),"06.001.0010.0302.0094.1021.44.90.51")</f>
        <v>06.001.0010.0302.0094.1021.44.90.51</v>
      </c>
      <c r="W233" s="2" t="str">
        <f ca="1">IFERROR(__xludf.DUMMYFUNCTION("""COMPUTED_VALUE"""),"303")</f>
        <v>303</v>
      </c>
      <c r="X233" s="2"/>
      <c r="Y233" s="2"/>
      <c r="Z233" s="2"/>
      <c r="AA233" s="2"/>
      <c r="AB233" s="2"/>
      <c r="AC233" s="2"/>
      <c r="AD233" s="2"/>
      <c r="AE233" s="2"/>
      <c r="AF233" s="2"/>
    </row>
    <row r="234" spans="1:32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>
        <f ca="1">IFERROR(__xludf.DUMMYFUNCTION("""COMPUTED_VALUE"""),2023)</f>
        <v>2023</v>
      </c>
      <c r="Q234" s="2" t="str">
        <f ca="1">IFERROR(__xludf.DUMMYFUNCTION("""COMPUTED_VALUE"""),"0278")</f>
        <v>0278</v>
      </c>
      <c r="R234" s="2" t="str">
        <f ca="1">IFERROR(__xludf.DUMMYFUNCTION("""COMPUTED_VALUE"""),"18.004.0015.0182.0140.1076.33.90.30")</f>
        <v>18.004.0015.0182.0140.1076.33.90.30</v>
      </c>
      <c r="S234" s="2" t="str">
        <f ca="1">IFERROR(__xludf.DUMMYFUNCTION("""COMPUTED_VALUE"""),"00509")</f>
        <v>00509</v>
      </c>
      <c r="T234" s="2">
        <f ca="1">IFERROR(__xludf.DUMMYFUNCTION("""COMPUTED_VALUE"""),2024)</f>
        <v>2024</v>
      </c>
      <c r="U234" s="2" t="str">
        <f ca="1">IFERROR(__xludf.DUMMYFUNCTION("""COMPUTED_VALUE"""),"0315")</f>
        <v>0315</v>
      </c>
      <c r="V234" s="2" t="str">
        <f ca="1">IFERROR(__xludf.DUMMYFUNCTION("""COMPUTED_VALUE"""),"06.001.0010.0302.0094.1022.44.90.52")</f>
        <v>06.001.0010.0302.0094.1022.44.90.52</v>
      </c>
      <c r="W234" s="2" t="str">
        <f ca="1">IFERROR(__xludf.DUMMYFUNCTION("""COMPUTED_VALUE"""),"303")</f>
        <v>303</v>
      </c>
      <c r="X234" s="2"/>
      <c r="Y234" s="2"/>
      <c r="Z234" s="2"/>
      <c r="AA234" s="2"/>
      <c r="AB234" s="2"/>
      <c r="AC234" s="2"/>
      <c r="AD234" s="2"/>
      <c r="AE234" s="2"/>
      <c r="AF234" s="2"/>
    </row>
    <row r="235" spans="1:32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>
        <f ca="1">IFERROR(__xludf.DUMMYFUNCTION("""COMPUTED_VALUE"""),2023)</f>
        <v>2023</v>
      </c>
      <c r="Q235" s="2" t="str">
        <f ca="1">IFERROR(__xludf.DUMMYFUNCTION("""COMPUTED_VALUE"""),"0279")</f>
        <v>0279</v>
      </c>
      <c r="R235" s="2" t="str">
        <f ca="1">IFERROR(__xludf.DUMMYFUNCTION("""COMPUTED_VALUE"""),"18.001.0004.0121.0140.2023.33.90.30")</f>
        <v>18.001.0004.0121.0140.2023.33.90.30</v>
      </c>
      <c r="S235" s="2" t="str">
        <f ca="1">IFERROR(__xludf.DUMMYFUNCTION("""COMPUTED_VALUE"""),"0000")</f>
        <v>0000</v>
      </c>
      <c r="T235" s="2">
        <f ca="1">IFERROR(__xludf.DUMMYFUNCTION("""COMPUTED_VALUE"""),2024)</f>
        <v>2024</v>
      </c>
      <c r="U235" s="2" t="str">
        <f ca="1">IFERROR(__xludf.DUMMYFUNCTION("""COMPUTED_VALUE"""),"0316")</f>
        <v>0316</v>
      </c>
      <c r="V235" s="2" t="str">
        <f ca="1">IFERROR(__xludf.DUMMYFUNCTION("""COMPUTED_VALUE"""),"06.001.0010.0302.0094.1026.44.67.82")</f>
        <v>06.001.0010.0302.0094.1026.44.67.82</v>
      </c>
      <c r="W235" s="2" t="str">
        <f ca="1">IFERROR(__xludf.DUMMYFUNCTION("""COMPUTED_VALUE"""),"303")</f>
        <v>303</v>
      </c>
      <c r="X235" s="2"/>
      <c r="Y235" s="2"/>
      <c r="Z235" s="2"/>
      <c r="AA235" s="2"/>
      <c r="AB235" s="2"/>
      <c r="AC235" s="2"/>
      <c r="AD235" s="2"/>
      <c r="AE235" s="2"/>
      <c r="AF235" s="2"/>
    </row>
    <row r="236" spans="1:32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>
        <f ca="1">IFERROR(__xludf.DUMMYFUNCTION("""COMPUTED_VALUE"""),2023)</f>
        <v>2023</v>
      </c>
      <c r="Q236" s="2" t="str">
        <f ca="1">IFERROR(__xludf.DUMMYFUNCTION("""COMPUTED_VALUE"""),"0280")</f>
        <v>0280</v>
      </c>
      <c r="R236" s="2" t="str">
        <f ca="1">IFERROR(__xludf.DUMMYFUNCTION("""COMPUTED_VALUE"""),"18.002.0006.0181.0140.2024.33.90.30")</f>
        <v>18.002.0006.0181.0140.2024.33.90.30</v>
      </c>
      <c r="S236" s="2" t="str">
        <f ca="1">IFERROR(__xludf.DUMMYFUNCTION("""COMPUTED_VALUE"""),"0000")</f>
        <v>0000</v>
      </c>
      <c r="T236" s="2">
        <f ca="1">IFERROR(__xludf.DUMMYFUNCTION("""COMPUTED_VALUE"""),2024)</f>
        <v>2024</v>
      </c>
      <c r="U236" s="2" t="str">
        <f ca="1">IFERROR(__xludf.DUMMYFUNCTION("""COMPUTED_VALUE"""),"0318")</f>
        <v>0318</v>
      </c>
      <c r="V236" s="2" t="str">
        <f ca="1">IFERROR(__xludf.DUMMYFUNCTION("""COMPUTED_VALUE"""),"06.001.0010.0302.0094.1026.44.90.51")</f>
        <v>06.001.0010.0302.0094.1026.44.90.51</v>
      </c>
      <c r="W236" s="2" t="str">
        <f ca="1">IFERROR(__xludf.DUMMYFUNCTION("""COMPUTED_VALUE"""),"0")</f>
        <v>0</v>
      </c>
      <c r="X236" s="2"/>
      <c r="Y236" s="2"/>
      <c r="Z236" s="2"/>
      <c r="AA236" s="2"/>
      <c r="AB236" s="2"/>
      <c r="AC236" s="2"/>
      <c r="AD236" s="2"/>
      <c r="AE236" s="2"/>
      <c r="AF236" s="2"/>
    </row>
    <row r="237" spans="1:32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>
        <f ca="1">IFERROR(__xludf.DUMMYFUNCTION("""COMPUTED_VALUE"""),2023)</f>
        <v>2023</v>
      </c>
      <c r="Q237" s="2" t="str">
        <f ca="1">IFERROR(__xludf.DUMMYFUNCTION("""COMPUTED_VALUE"""),"0281")</f>
        <v>0281</v>
      </c>
      <c r="R237" s="2" t="str">
        <f ca="1">IFERROR(__xludf.DUMMYFUNCTION("""COMPUTED_VALUE"""),"18.002.0006.0181.0140.2024.33.90.30")</f>
        <v>18.002.0006.0181.0140.2024.33.90.30</v>
      </c>
      <c r="S237" s="2" t="str">
        <f ca="1">IFERROR(__xludf.DUMMYFUNCTION("""COMPUTED_VALUE"""),"01011")</f>
        <v>01011</v>
      </c>
      <c r="T237" s="2">
        <f ca="1">IFERROR(__xludf.DUMMYFUNCTION("""COMPUTED_VALUE"""),2024)</f>
        <v>2024</v>
      </c>
      <c r="U237" s="2" t="str">
        <f ca="1">IFERROR(__xludf.DUMMYFUNCTION("""COMPUTED_VALUE"""),"1211")</f>
        <v>1211</v>
      </c>
      <c r="V237" s="2" t="str">
        <f ca="1">IFERROR(__xludf.DUMMYFUNCTION("""COMPUTED_VALUE"""),"06.001.0010.0302.0094.1083.44.90.51")</f>
        <v>06.001.0010.0302.0094.1083.44.90.51</v>
      </c>
      <c r="W237" s="2" t="str">
        <f ca="1">IFERROR(__xludf.DUMMYFUNCTION("""COMPUTED_VALUE"""),"614")</f>
        <v>614</v>
      </c>
      <c r="X237" s="2"/>
      <c r="Y237" s="2"/>
      <c r="Z237" s="2"/>
      <c r="AA237" s="2"/>
      <c r="AB237" s="2"/>
      <c r="AC237" s="2"/>
      <c r="AD237" s="2"/>
      <c r="AE237" s="2"/>
      <c r="AF237" s="2"/>
    </row>
    <row r="238" spans="1:32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>
        <f ca="1">IFERROR(__xludf.DUMMYFUNCTION("""COMPUTED_VALUE"""),2023)</f>
        <v>2023</v>
      </c>
      <c r="Q238" s="2" t="str">
        <f ca="1">IFERROR(__xludf.DUMMYFUNCTION("""COMPUTED_VALUE"""),"0282")</f>
        <v>0282</v>
      </c>
      <c r="R238" s="2" t="str">
        <f ca="1">IFERROR(__xludf.DUMMYFUNCTION("""COMPUTED_VALUE"""),"18.002.0006.0182.0140.2025.33.90.30")</f>
        <v>18.002.0006.0182.0140.2025.33.90.30</v>
      </c>
      <c r="S238" s="2" t="str">
        <f ca="1">IFERROR(__xludf.DUMMYFUNCTION("""COMPUTED_VALUE"""),"0000")</f>
        <v>0000</v>
      </c>
      <c r="T238" s="2">
        <f ca="1">IFERROR(__xludf.DUMMYFUNCTION("""COMPUTED_VALUE"""),2024)</f>
        <v>2024</v>
      </c>
      <c r="U238" s="2" t="str">
        <f ca="1">IFERROR(__xludf.DUMMYFUNCTION("""COMPUTED_VALUE"""),"0321")</f>
        <v>0321</v>
      </c>
      <c r="V238" s="2" t="str">
        <f ca="1">IFERROR(__xludf.DUMMYFUNCTION("""COMPUTED_VALUE"""),"06.001.0010.0302.0094.2041.31.90.07")</f>
        <v>06.001.0010.0302.0094.2041.31.90.07</v>
      </c>
      <c r="W238" s="2" t="str">
        <f ca="1">IFERROR(__xludf.DUMMYFUNCTION("""COMPUTED_VALUE"""),"303")</f>
        <v>303</v>
      </c>
      <c r="X238" s="2"/>
      <c r="Y238" s="2"/>
      <c r="Z238" s="2"/>
      <c r="AA238" s="2"/>
      <c r="AB238" s="2"/>
      <c r="AC238" s="2"/>
      <c r="AD238" s="2"/>
      <c r="AE238" s="2"/>
      <c r="AF238" s="2"/>
    </row>
    <row r="239" spans="1:32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>
        <f ca="1">IFERROR(__xludf.DUMMYFUNCTION("""COMPUTED_VALUE"""),2023)</f>
        <v>2023</v>
      </c>
      <c r="Q239" s="2" t="str">
        <f ca="1">IFERROR(__xludf.DUMMYFUNCTION("""COMPUTED_VALUE"""),"0283")</f>
        <v>0283</v>
      </c>
      <c r="R239" s="2" t="str">
        <f ca="1">IFERROR(__xludf.DUMMYFUNCTION("""COMPUTED_VALUE"""),"18.002.0006.0182.0140.2026.33.90.30")</f>
        <v>18.002.0006.0182.0140.2026.33.90.30</v>
      </c>
      <c r="S239" s="2" t="str">
        <f ca="1">IFERROR(__xludf.DUMMYFUNCTION("""COMPUTED_VALUE"""),"0000")</f>
        <v>0000</v>
      </c>
      <c r="T239" s="2">
        <f ca="1">IFERROR(__xludf.DUMMYFUNCTION("""COMPUTED_VALUE"""),2024)</f>
        <v>2024</v>
      </c>
      <c r="U239" s="2" t="str">
        <f ca="1">IFERROR(__xludf.DUMMYFUNCTION("""COMPUTED_VALUE"""),"1192")</f>
        <v>1192</v>
      </c>
      <c r="V239" s="2" t="str">
        <f ca="1">IFERROR(__xludf.DUMMYFUNCTION("""COMPUTED_VALUE"""),"06.001.0010.0302.0094.2041.31.90.11")</f>
        <v>06.001.0010.0302.0094.2041.31.90.11</v>
      </c>
      <c r="W239" s="2" t="str">
        <f ca="1">IFERROR(__xludf.DUMMYFUNCTION("""COMPUTED_VALUE"""),"303")</f>
        <v>303</v>
      </c>
      <c r="X239" s="2"/>
      <c r="Y239" s="2"/>
      <c r="Z239" s="2"/>
      <c r="AA239" s="2"/>
      <c r="AB239" s="2"/>
      <c r="AC239" s="2"/>
      <c r="AD239" s="2"/>
      <c r="AE239" s="2"/>
      <c r="AF239" s="2"/>
    </row>
    <row r="240" spans="1:32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>
        <f ca="1">IFERROR(__xludf.DUMMYFUNCTION("""COMPUTED_VALUE"""),2023)</f>
        <v>2023</v>
      </c>
      <c r="Q240" s="2" t="str">
        <f ca="1">IFERROR(__xludf.DUMMYFUNCTION("""COMPUTED_VALUE"""),"0284")</f>
        <v>0284</v>
      </c>
      <c r="R240" s="2" t="str">
        <f ca="1">IFERROR(__xludf.DUMMYFUNCTION("""COMPUTED_VALUE"""),"18.003.0015.0452.0140.2027.33.90.30")</f>
        <v>18.003.0015.0452.0140.2027.33.90.30</v>
      </c>
      <c r="S240" s="2" t="str">
        <f ca="1">IFERROR(__xludf.DUMMYFUNCTION("""COMPUTED_VALUE"""),"0000")</f>
        <v>0000</v>
      </c>
      <c r="T240" s="2">
        <f ca="1">IFERROR(__xludf.DUMMYFUNCTION("""COMPUTED_VALUE"""),2024)</f>
        <v>2024</v>
      </c>
      <c r="U240" s="2" t="str">
        <f ca="1">IFERROR(__xludf.DUMMYFUNCTION("""COMPUTED_VALUE"""),"0322")</f>
        <v>0322</v>
      </c>
      <c r="V240" s="2" t="str">
        <f ca="1">IFERROR(__xludf.DUMMYFUNCTION("""COMPUTED_VALUE"""),"06.001.0010.0302.0094.2041.31.90.11")</f>
        <v>06.001.0010.0302.0094.2041.31.90.11</v>
      </c>
      <c r="W240" s="2" t="str">
        <f ca="1">IFERROR(__xludf.DUMMYFUNCTION("""COMPUTED_VALUE"""),"303")</f>
        <v>303</v>
      </c>
      <c r="X240" s="2"/>
      <c r="Y240" s="2"/>
      <c r="Z240" s="2"/>
      <c r="AA240" s="2"/>
      <c r="AB240" s="2"/>
      <c r="AC240" s="2"/>
      <c r="AD240" s="2"/>
      <c r="AE240" s="2"/>
      <c r="AF240" s="2"/>
    </row>
    <row r="241" spans="1:32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>
        <f ca="1">IFERROR(__xludf.DUMMYFUNCTION("""COMPUTED_VALUE"""),2023)</f>
        <v>2023</v>
      </c>
      <c r="Q241" s="2" t="str">
        <f ca="1">IFERROR(__xludf.DUMMYFUNCTION("""COMPUTED_VALUE"""),"0285")</f>
        <v>0285</v>
      </c>
      <c r="R241" s="2" t="str">
        <f ca="1">IFERROR(__xludf.DUMMYFUNCTION("""COMPUTED_VALUE"""),"18.003.0015.0452.0140.2027.33.90.30")</f>
        <v>18.003.0015.0452.0140.2027.33.90.30</v>
      </c>
      <c r="S241" s="2" t="str">
        <f ca="1">IFERROR(__xludf.DUMMYFUNCTION("""COMPUTED_VALUE"""),"00509")</f>
        <v>00509</v>
      </c>
      <c r="T241" s="2">
        <f ca="1">IFERROR(__xludf.DUMMYFUNCTION("""COMPUTED_VALUE"""),2024)</f>
        <v>2024</v>
      </c>
      <c r="U241" s="2" t="str">
        <f ca="1">IFERROR(__xludf.DUMMYFUNCTION("""COMPUTED_VALUE"""),"0333")</f>
        <v>0333</v>
      </c>
      <c r="V241" s="2" t="str">
        <f ca="1">IFERROR(__xludf.DUMMYFUNCTION("""COMPUTED_VALUE"""),"06.001.0010.0302.0094.2041.31.90.13")</f>
        <v>06.001.0010.0302.0094.2041.31.90.13</v>
      </c>
      <c r="W241" s="2" t="str">
        <f ca="1">IFERROR(__xludf.DUMMYFUNCTION("""COMPUTED_VALUE"""),"4942")</f>
        <v>4942</v>
      </c>
      <c r="X241" s="2"/>
      <c r="Y241" s="2"/>
      <c r="Z241" s="2"/>
      <c r="AA241" s="2"/>
      <c r="AB241" s="2"/>
      <c r="AC241" s="2"/>
      <c r="AD241" s="2"/>
      <c r="AE241" s="2"/>
      <c r="AF241" s="2"/>
    </row>
    <row r="242" spans="1:3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>
        <f ca="1">IFERROR(__xludf.DUMMYFUNCTION("""COMPUTED_VALUE"""),2023)</f>
        <v>2023</v>
      </c>
      <c r="Q242" s="2" t="str">
        <f ca="1">IFERROR(__xludf.DUMMYFUNCTION("""COMPUTED_VALUE"""),"0286")</f>
        <v>0286</v>
      </c>
      <c r="R242" s="2" t="str">
        <f ca="1">IFERROR(__xludf.DUMMYFUNCTION("""COMPUTED_VALUE"""),"18.004.0006.0181.0140.2142.33.90.30")</f>
        <v>18.004.0006.0181.0140.2142.33.90.30</v>
      </c>
      <c r="S242" s="2" t="str">
        <f ca="1">IFERROR(__xludf.DUMMYFUNCTION("""COMPUTED_VALUE"""),"0000")</f>
        <v>0000</v>
      </c>
      <c r="T242" s="2">
        <f ca="1">IFERROR(__xludf.DUMMYFUNCTION("""COMPUTED_VALUE"""),2024)</f>
        <v>2024</v>
      </c>
      <c r="U242" s="2" t="str">
        <f ca="1">IFERROR(__xludf.DUMMYFUNCTION("""COMPUTED_VALUE"""),"0323")</f>
        <v>0323</v>
      </c>
      <c r="V242" s="2" t="str">
        <f ca="1">IFERROR(__xludf.DUMMYFUNCTION("""COMPUTED_VALUE"""),"06.001.0010.0302.0094.2041.31.91.13")</f>
        <v>06.001.0010.0302.0094.2041.31.91.13</v>
      </c>
      <c r="W242" s="2" t="str">
        <f ca="1">IFERROR(__xludf.DUMMYFUNCTION("""COMPUTED_VALUE"""),"303")</f>
        <v>303</v>
      </c>
      <c r="X242" s="2"/>
      <c r="Y242" s="2"/>
      <c r="Z242" s="2"/>
      <c r="AA242" s="2"/>
      <c r="AB242" s="2"/>
      <c r="AC242" s="2"/>
      <c r="AD242" s="2"/>
      <c r="AE242" s="2"/>
      <c r="AF242" s="2"/>
    </row>
    <row r="243" spans="1:32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>
        <f ca="1">IFERROR(__xludf.DUMMYFUNCTION("""COMPUTED_VALUE"""),2023)</f>
        <v>2023</v>
      </c>
      <c r="Q243" s="2" t="str">
        <f ca="1">IFERROR(__xludf.DUMMYFUNCTION("""COMPUTED_VALUE"""),"0287")</f>
        <v>0287</v>
      </c>
      <c r="R243" s="2" t="str">
        <f ca="1">IFERROR(__xludf.DUMMYFUNCTION("""COMPUTED_VALUE"""),"18.004.0006.0181.0140.2142.33.90.30")</f>
        <v>18.004.0006.0181.0140.2142.33.90.30</v>
      </c>
      <c r="S243" s="2" t="str">
        <f ca="1">IFERROR(__xludf.DUMMYFUNCTION("""COMPUTED_VALUE"""),"01011")</f>
        <v>01011</v>
      </c>
      <c r="T243" s="2">
        <f ca="1">IFERROR(__xludf.DUMMYFUNCTION("""COMPUTED_VALUE"""),2024)</f>
        <v>2024</v>
      </c>
      <c r="U243" s="2" t="str">
        <f ca="1">IFERROR(__xludf.DUMMYFUNCTION("""COMPUTED_VALUE"""),"0324")</f>
        <v>0324</v>
      </c>
      <c r="V243" s="2" t="str">
        <f ca="1">IFERROR(__xludf.DUMMYFUNCTION("""COMPUTED_VALUE"""),"06.001.0010.0302.0094.2041.31.91.13")</f>
        <v>06.001.0010.0302.0094.2041.31.91.13</v>
      </c>
      <c r="W243" s="2" t="str">
        <f ca="1">IFERROR(__xludf.DUMMYFUNCTION("""COMPUTED_VALUE"""),"303")</f>
        <v>303</v>
      </c>
      <c r="X243" s="2"/>
      <c r="Y243" s="2"/>
      <c r="Z243" s="2"/>
      <c r="AA243" s="2"/>
      <c r="AB243" s="2"/>
      <c r="AC243" s="2"/>
      <c r="AD243" s="2"/>
      <c r="AE243" s="2"/>
      <c r="AF243" s="2"/>
    </row>
    <row r="244" spans="1:32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>
        <f ca="1">IFERROR(__xludf.DUMMYFUNCTION("""COMPUTED_VALUE"""),2023)</f>
        <v>2023</v>
      </c>
      <c r="Q244" s="2" t="str">
        <f ca="1">IFERROR(__xludf.DUMMYFUNCTION("""COMPUTED_VALUE"""),"0288")</f>
        <v>0288</v>
      </c>
      <c r="R244" s="2" t="str">
        <f ca="1">IFERROR(__xludf.DUMMYFUNCTION("""COMPUTED_VALUE"""),"18.004.0006.0182.0140.2143.33.90.30")</f>
        <v>18.004.0006.0182.0140.2143.33.90.30</v>
      </c>
      <c r="S244" s="2" t="str">
        <f ca="1">IFERROR(__xludf.DUMMYFUNCTION("""COMPUTED_VALUE"""),"0000")</f>
        <v>0000</v>
      </c>
      <c r="T244" s="2">
        <f ca="1">IFERROR(__xludf.DUMMYFUNCTION("""COMPUTED_VALUE"""),2024)</f>
        <v>2024</v>
      </c>
      <c r="U244" s="2" t="str">
        <f ca="1">IFERROR(__xludf.DUMMYFUNCTION("""COMPUTED_VALUE"""),"0334")</f>
        <v>0334</v>
      </c>
      <c r="V244" s="2" t="str">
        <f ca="1">IFERROR(__xludf.DUMMYFUNCTION("""COMPUTED_VALUE"""),"06.001.0010.0302.0094.2041.33.90.14")</f>
        <v>06.001.0010.0302.0094.2041.33.90.14</v>
      </c>
      <c r="W244" s="2" t="str">
        <f ca="1">IFERROR(__xludf.DUMMYFUNCTION("""COMPUTED_VALUE"""),"4942")</f>
        <v>4942</v>
      </c>
      <c r="X244" s="2"/>
      <c r="Y244" s="2"/>
      <c r="Z244" s="2"/>
      <c r="AA244" s="2"/>
      <c r="AB244" s="2"/>
      <c r="AC244" s="2"/>
      <c r="AD244" s="2"/>
      <c r="AE244" s="2"/>
      <c r="AF244" s="2"/>
    </row>
    <row r="245" spans="1:32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>
        <f ca="1">IFERROR(__xludf.DUMMYFUNCTION("""COMPUTED_VALUE"""),2023)</f>
        <v>2023</v>
      </c>
      <c r="Q245" s="2" t="str">
        <f ca="1">IFERROR(__xludf.DUMMYFUNCTION("""COMPUTED_VALUE"""),"0289")</f>
        <v>0289</v>
      </c>
      <c r="R245" s="2" t="str">
        <f ca="1">IFERROR(__xludf.DUMMYFUNCTION("""COMPUTED_VALUE"""),"18.004.0006.0182.0140.2144.33.90.30")</f>
        <v>18.004.0006.0182.0140.2144.33.90.30</v>
      </c>
      <c r="S245" s="2" t="str">
        <f ca="1">IFERROR(__xludf.DUMMYFUNCTION("""COMPUTED_VALUE"""),"0000")</f>
        <v>0000</v>
      </c>
      <c r="T245" s="2">
        <f ca="1">IFERROR(__xludf.DUMMYFUNCTION("""COMPUTED_VALUE"""),2024)</f>
        <v>2024</v>
      </c>
      <c r="U245" s="2" t="str">
        <f ca="1">IFERROR(__xludf.DUMMYFUNCTION("""COMPUTED_VALUE"""),"0325")</f>
        <v>0325</v>
      </c>
      <c r="V245" s="2" t="str">
        <f ca="1">IFERROR(__xludf.DUMMYFUNCTION("""COMPUTED_VALUE"""),"06.001.0010.0302.0094.2041.33.90.30")</f>
        <v>06.001.0010.0302.0094.2041.33.90.30</v>
      </c>
      <c r="W245" s="2" t="str">
        <f ca="1">IFERROR(__xludf.DUMMYFUNCTION("""COMPUTED_VALUE"""),"303")</f>
        <v>303</v>
      </c>
      <c r="X245" s="2"/>
      <c r="Y245" s="2"/>
      <c r="Z245" s="2"/>
      <c r="AA245" s="2"/>
      <c r="AB245" s="2"/>
      <c r="AC245" s="2"/>
      <c r="AD245" s="2"/>
      <c r="AE245" s="2"/>
      <c r="AF245" s="2"/>
    </row>
    <row r="246" spans="1:32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>
        <f ca="1">IFERROR(__xludf.DUMMYFUNCTION("""COMPUTED_VALUE"""),2023)</f>
        <v>2023</v>
      </c>
      <c r="Q246" s="2" t="str">
        <f ca="1">IFERROR(__xludf.DUMMYFUNCTION("""COMPUTED_VALUE"""),"0290")</f>
        <v>0290</v>
      </c>
      <c r="R246" s="2" t="str">
        <f ca="1">IFERROR(__xludf.DUMMYFUNCTION("""COMPUTED_VALUE"""),"18.004.0015.0452.0140.2145.33.90.30")</f>
        <v>18.004.0015.0452.0140.2145.33.90.30</v>
      </c>
      <c r="S246" s="2" t="str">
        <f ca="1">IFERROR(__xludf.DUMMYFUNCTION("""COMPUTED_VALUE"""),"0000")</f>
        <v>0000</v>
      </c>
      <c r="T246" s="2">
        <f ca="1">IFERROR(__xludf.DUMMYFUNCTION("""COMPUTED_VALUE"""),2024)</f>
        <v>2024</v>
      </c>
      <c r="U246" s="2" t="str">
        <f ca="1">IFERROR(__xludf.DUMMYFUNCTION("""COMPUTED_VALUE"""),"0326")</f>
        <v>0326</v>
      </c>
      <c r="V246" s="2" t="str">
        <f ca="1">IFERROR(__xludf.DUMMYFUNCTION("""COMPUTED_VALUE"""),"06.001.0010.0302.0094.2041.33.90.32")</f>
        <v>06.001.0010.0302.0094.2041.33.90.32</v>
      </c>
      <c r="W246" s="2" t="str">
        <f ca="1">IFERROR(__xludf.DUMMYFUNCTION("""COMPUTED_VALUE"""),"303")</f>
        <v>303</v>
      </c>
      <c r="X246" s="2"/>
      <c r="Y246" s="2"/>
      <c r="Z246" s="2"/>
      <c r="AA246" s="2"/>
      <c r="AB246" s="2"/>
      <c r="AC246" s="2"/>
      <c r="AD246" s="2"/>
      <c r="AE246" s="2"/>
      <c r="AF246" s="2"/>
    </row>
    <row r="247" spans="1:32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>
        <f ca="1">IFERROR(__xludf.DUMMYFUNCTION("""COMPUTED_VALUE"""),2023)</f>
        <v>2023</v>
      </c>
      <c r="Q247" s="2" t="str">
        <f ca="1">IFERROR(__xludf.DUMMYFUNCTION("""COMPUTED_VALUE"""),"0291")</f>
        <v>0291</v>
      </c>
      <c r="R247" s="2" t="str">
        <f ca="1">IFERROR(__xludf.DUMMYFUNCTION("""COMPUTED_VALUE"""),"02.007.0004.0122.0022.2146.33.90.31")</f>
        <v>02.007.0004.0122.0022.2146.33.90.31</v>
      </c>
      <c r="S247" s="2" t="str">
        <f ca="1">IFERROR(__xludf.DUMMYFUNCTION("""COMPUTED_VALUE"""),"0000")</f>
        <v>0000</v>
      </c>
      <c r="T247" s="2">
        <f ca="1">IFERROR(__xludf.DUMMYFUNCTION("""COMPUTED_VALUE"""),2024)</f>
        <v>2024</v>
      </c>
      <c r="U247" s="2" t="str">
        <f ca="1">IFERROR(__xludf.DUMMYFUNCTION("""COMPUTED_VALUE"""),"0327")</f>
        <v>0327</v>
      </c>
      <c r="V247" s="2" t="str">
        <f ca="1">IFERROR(__xludf.DUMMYFUNCTION("""COMPUTED_VALUE"""),"06.001.0010.0302.0094.2041.33.90.33")</f>
        <v>06.001.0010.0302.0094.2041.33.90.33</v>
      </c>
      <c r="W247" s="2" t="str">
        <f ca="1">IFERROR(__xludf.DUMMYFUNCTION("""COMPUTED_VALUE"""),"303")</f>
        <v>303</v>
      </c>
      <c r="X247" s="2"/>
      <c r="Y247" s="2"/>
      <c r="Z247" s="2"/>
      <c r="AA247" s="2"/>
      <c r="AB247" s="2"/>
      <c r="AC247" s="2"/>
      <c r="AD247" s="2"/>
      <c r="AE247" s="2"/>
      <c r="AF247" s="2"/>
    </row>
    <row r="248" spans="1:32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>
        <f ca="1">IFERROR(__xludf.DUMMYFUNCTION("""COMPUTED_VALUE"""),2023)</f>
        <v>2023</v>
      </c>
      <c r="Q248" s="2" t="str">
        <f ca="1">IFERROR(__xludf.DUMMYFUNCTION("""COMPUTED_VALUE"""),"0292")</f>
        <v>0292</v>
      </c>
      <c r="R248" s="2" t="str">
        <f ca="1">IFERROR(__xludf.DUMMYFUNCTION("""COMPUTED_VALUE"""),"05.001.0012.0361.0074.6012.33.90.31")</f>
        <v>05.001.0012.0361.0074.6012.33.90.31</v>
      </c>
      <c r="S248" s="2" t="str">
        <f ca="1">IFERROR(__xludf.DUMMYFUNCTION("""COMPUTED_VALUE"""),"00107")</f>
        <v>00107</v>
      </c>
      <c r="T248" s="2">
        <f ca="1">IFERROR(__xludf.DUMMYFUNCTION("""COMPUTED_VALUE"""),2024)</f>
        <v>2024</v>
      </c>
      <c r="U248" s="2" t="str">
        <f ca="1">IFERROR(__xludf.DUMMYFUNCTION("""COMPUTED_VALUE"""),"0328")</f>
        <v>0328</v>
      </c>
      <c r="V248" s="2" t="str">
        <f ca="1">IFERROR(__xludf.DUMMYFUNCTION("""COMPUTED_VALUE"""),"06.001.0010.0302.0094.2041.33.90.36")</f>
        <v>06.001.0010.0302.0094.2041.33.90.36</v>
      </c>
      <c r="W248" s="2" t="str">
        <f ca="1">IFERROR(__xludf.DUMMYFUNCTION("""COMPUTED_VALUE"""),"303")</f>
        <v>303</v>
      </c>
      <c r="X248" s="2"/>
      <c r="Y248" s="2"/>
      <c r="Z248" s="2"/>
      <c r="AA248" s="2"/>
      <c r="AB248" s="2"/>
      <c r="AC248" s="2"/>
      <c r="AD248" s="2"/>
      <c r="AE248" s="2"/>
      <c r="AF248" s="2"/>
    </row>
    <row r="249" spans="1:32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>
        <f ca="1">IFERROR(__xludf.DUMMYFUNCTION("""COMPUTED_VALUE"""),2023)</f>
        <v>2023</v>
      </c>
      <c r="Q249" s="2" t="str">
        <f ca="1">IFERROR(__xludf.DUMMYFUNCTION("""COMPUTED_VALUE"""),"0293")</f>
        <v>0293</v>
      </c>
      <c r="R249" s="2" t="str">
        <f ca="1">IFERROR(__xludf.DUMMYFUNCTION("""COMPUTED_VALUE"""),"11.002.0013.0392.0082.2010.33.90.31")</f>
        <v>11.002.0013.0392.0082.2010.33.90.31</v>
      </c>
      <c r="S249" s="2" t="str">
        <f ca="1">IFERROR(__xludf.DUMMYFUNCTION("""COMPUTED_VALUE"""),"0000")</f>
        <v>0000</v>
      </c>
      <c r="T249" s="2">
        <f ca="1">IFERROR(__xludf.DUMMYFUNCTION("""COMPUTED_VALUE"""),2024)</f>
        <v>2024</v>
      </c>
      <c r="U249" s="2" t="str">
        <f ca="1">IFERROR(__xludf.DUMMYFUNCTION("""COMPUTED_VALUE"""),"0329")</f>
        <v>0329</v>
      </c>
      <c r="V249" s="2" t="str">
        <f ca="1">IFERROR(__xludf.DUMMYFUNCTION("""COMPUTED_VALUE"""),"06.001.0010.0302.0094.2041.33.90.37")</f>
        <v>06.001.0010.0302.0094.2041.33.90.37</v>
      </c>
      <c r="W249" s="2" t="str">
        <f ca="1">IFERROR(__xludf.DUMMYFUNCTION("""COMPUTED_VALUE"""),"303")</f>
        <v>303</v>
      </c>
      <c r="X249" s="2"/>
      <c r="Y249" s="2"/>
      <c r="Z249" s="2"/>
      <c r="AA249" s="2"/>
      <c r="AB249" s="2"/>
      <c r="AC249" s="2"/>
      <c r="AD249" s="2"/>
      <c r="AE249" s="2"/>
      <c r="AF249" s="2"/>
    </row>
    <row r="250" spans="1:32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>
        <f ca="1">IFERROR(__xludf.DUMMYFUNCTION("""COMPUTED_VALUE"""),2023)</f>
        <v>2023</v>
      </c>
      <c r="Q250" s="2" t="str">
        <f ca="1">IFERROR(__xludf.DUMMYFUNCTION("""COMPUTED_VALUE"""),"0294")</f>
        <v>0294</v>
      </c>
      <c r="R250" s="2" t="str">
        <f ca="1">IFERROR(__xludf.DUMMYFUNCTION("""COMPUTED_VALUE"""),"11.003.0027.0812.0083.2015.33.90.31")</f>
        <v>11.003.0027.0812.0083.2015.33.90.31</v>
      </c>
      <c r="S250" s="2" t="str">
        <f ca="1">IFERROR(__xludf.DUMMYFUNCTION("""COMPUTED_VALUE"""),"0000")</f>
        <v>0000</v>
      </c>
      <c r="T250" s="2">
        <f ca="1">IFERROR(__xludf.DUMMYFUNCTION("""COMPUTED_VALUE"""),2024)</f>
        <v>2024</v>
      </c>
      <c r="U250" s="2" t="str">
        <f ca="1">IFERROR(__xludf.DUMMYFUNCTION("""COMPUTED_VALUE"""),"0330")</f>
        <v>0330</v>
      </c>
      <c r="V250" s="2" t="str">
        <f ca="1">IFERROR(__xludf.DUMMYFUNCTION("""COMPUTED_VALUE"""),"06.001.0010.0302.0094.2041.33.90.39")</f>
        <v>06.001.0010.0302.0094.2041.33.90.39</v>
      </c>
      <c r="W250" s="2" t="str">
        <f ca="1">IFERROR(__xludf.DUMMYFUNCTION("""COMPUTED_VALUE"""),"303")</f>
        <v>303</v>
      </c>
      <c r="X250" s="2"/>
      <c r="Y250" s="2"/>
      <c r="Z250" s="2"/>
      <c r="AA250" s="2"/>
      <c r="AB250" s="2"/>
      <c r="AC250" s="2"/>
      <c r="AD250" s="2"/>
      <c r="AE250" s="2"/>
      <c r="AF250" s="2"/>
    </row>
    <row r="251" spans="1:32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>
        <f ca="1">IFERROR(__xludf.DUMMYFUNCTION("""COMPUTED_VALUE"""),2023)</f>
        <v>2023</v>
      </c>
      <c r="Q251" s="2" t="str">
        <f ca="1">IFERROR(__xludf.DUMMYFUNCTION("""COMPUTED_VALUE"""),"0295")</f>
        <v>0295</v>
      </c>
      <c r="R251" s="2" t="str">
        <f ca="1">IFERROR(__xludf.DUMMYFUNCTION("""COMPUTED_VALUE"""),"06.001.0010.0302.0094.2043.33.90.31")</f>
        <v>06.001.0010.0302.0094.2043.33.90.31</v>
      </c>
      <c r="S251" s="2" t="str">
        <f ca="1">IFERROR(__xludf.DUMMYFUNCTION("""COMPUTED_VALUE"""),"04942")</f>
        <v>04942</v>
      </c>
      <c r="T251" s="2">
        <f ca="1">IFERROR(__xludf.DUMMYFUNCTION("""COMPUTED_VALUE"""),2024)</f>
        <v>2024</v>
      </c>
      <c r="U251" s="2" t="str">
        <f ca="1">IFERROR(__xludf.DUMMYFUNCTION("""COMPUTED_VALUE"""),"0331")</f>
        <v>0331</v>
      </c>
      <c r="V251" s="2" t="str">
        <f ca="1">IFERROR(__xludf.DUMMYFUNCTION("""COMPUTED_VALUE"""),"06.001.0010.0302.0094.2041.33.90.40")</f>
        <v>06.001.0010.0302.0094.2041.33.90.40</v>
      </c>
      <c r="W251" s="2" t="str">
        <f ca="1">IFERROR(__xludf.DUMMYFUNCTION("""COMPUTED_VALUE"""),"303")</f>
        <v>303</v>
      </c>
      <c r="X251" s="2"/>
      <c r="Y251" s="2"/>
      <c r="Z251" s="2"/>
      <c r="AA251" s="2"/>
      <c r="AB251" s="2"/>
      <c r="AC251" s="2"/>
      <c r="AD251" s="2"/>
      <c r="AE251" s="2"/>
      <c r="AF251" s="2"/>
    </row>
    <row r="252" spans="1:3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>
        <f ca="1">IFERROR(__xludf.DUMMYFUNCTION("""COMPUTED_VALUE"""),2023)</f>
        <v>2023</v>
      </c>
      <c r="Q252" s="2" t="str">
        <f ca="1">IFERROR(__xludf.DUMMYFUNCTION("""COMPUTED_VALUE"""),"0296")</f>
        <v>0296</v>
      </c>
      <c r="R252" s="2" t="str">
        <f ca="1">IFERROR(__xludf.DUMMYFUNCTION("""COMPUTED_VALUE"""),"12.003.0023.0695.0113.2119.33.90.31")</f>
        <v>12.003.0023.0695.0113.2119.33.90.31</v>
      </c>
      <c r="S252" s="2" t="str">
        <f ca="1">IFERROR(__xludf.DUMMYFUNCTION("""COMPUTED_VALUE"""),"0000")</f>
        <v>0000</v>
      </c>
      <c r="T252" s="2">
        <f ca="1">IFERROR(__xludf.DUMMYFUNCTION("""COMPUTED_VALUE"""),2024)</f>
        <v>2024</v>
      </c>
      <c r="U252" s="2" t="str">
        <f ca="1">IFERROR(__xludf.DUMMYFUNCTION("""COMPUTED_VALUE"""),"0332")</f>
        <v>0332</v>
      </c>
      <c r="V252" s="2" t="str">
        <f ca="1">IFERROR(__xludf.DUMMYFUNCTION("""COMPUTED_VALUE"""),"06.001.0010.0302.0094.2042.33.72.39")</f>
        <v>06.001.0010.0302.0094.2042.33.72.39</v>
      </c>
      <c r="W252" s="2" t="str">
        <f ca="1">IFERROR(__xludf.DUMMYFUNCTION("""COMPUTED_VALUE"""),"303")</f>
        <v>303</v>
      </c>
      <c r="X252" s="2"/>
      <c r="Y252" s="2"/>
      <c r="Z252" s="2"/>
      <c r="AA252" s="2"/>
      <c r="AB252" s="2"/>
      <c r="AC252" s="2"/>
      <c r="AD252" s="2"/>
      <c r="AE252" s="2"/>
      <c r="AF252" s="2"/>
    </row>
    <row r="253" spans="1:32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>
        <f ca="1">IFERROR(__xludf.DUMMYFUNCTION("""COMPUTED_VALUE"""),2023)</f>
        <v>2023</v>
      </c>
      <c r="Q253" s="2" t="str">
        <f ca="1">IFERROR(__xludf.DUMMYFUNCTION("""COMPUTED_VALUE"""),"0297")</f>
        <v>0297</v>
      </c>
      <c r="R253" s="2" t="str">
        <f ca="1">IFERROR(__xludf.DUMMYFUNCTION("""COMPUTED_VALUE"""),"08.003.0008.0244.0118.2030.33.90.31")</f>
        <v>08.003.0008.0244.0118.2030.33.90.31</v>
      </c>
      <c r="S253" s="2" t="str">
        <f ca="1">IFERROR(__xludf.DUMMYFUNCTION("""COMPUTED_VALUE"""),"0000")</f>
        <v>0000</v>
      </c>
      <c r="T253" s="2">
        <f ca="1">IFERROR(__xludf.DUMMYFUNCTION("""COMPUTED_VALUE"""),2024)</f>
        <v>2024</v>
      </c>
      <c r="U253" s="2" t="str">
        <f ca="1">IFERROR(__xludf.DUMMYFUNCTION("""COMPUTED_VALUE"""),"0337")</f>
        <v>0337</v>
      </c>
      <c r="V253" s="2" t="str">
        <f ca="1">IFERROR(__xludf.DUMMYFUNCTION("""COMPUTED_VALUE"""),"06.001.0010.0302.0094.2042.33.72.39")</f>
        <v>06.001.0010.0302.0094.2042.33.72.39</v>
      </c>
      <c r="W253" s="2" t="str">
        <f ca="1">IFERROR(__xludf.DUMMYFUNCTION("""COMPUTED_VALUE"""),"303")</f>
        <v>303</v>
      </c>
      <c r="X253" s="2"/>
      <c r="Y253" s="2"/>
      <c r="Z253" s="2"/>
      <c r="AA253" s="2"/>
      <c r="AB253" s="2"/>
      <c r="AC253" s="2"/>
      <c r="AD253" s="2"/>
      <c r="AE253" s="2"/>
      <c r="AF253" s="2"/>
    </row>
    <row r="254" spans="1:32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>
        <f ca="1">IFERROR(__xludf.DUMMYFUNCTION("""COMPUTED_VALUE"""),2023)</f>
        <v>2023</v>
      </c>
      <c r="Q254" s="2" t="str">
        <f ca="1">IFERROR(__xludf.DUMMYFUNCTION("""COMPUTED_VALUE"""),"0298")</f>
        <v>0298</v>
      </c>
      <c r="R254" s="2" t="str">
        <f ca="1">IFERROR(__xludf.DUMMYFUNCTION("""COMPUTED_VALUE"""),"08.003.0008.0244.0118.2030.33.90.31")</f>
        <v>08.003.0008.0244.0118.2030.33.90.31</v>
      </c>
      <c r="S254" s="2" t="str">
        <f ca="1">IFERROR(__xludf.DUMMYFUNCTION("""COMPUTED_VALUE"""),"00934")</f>
        <v>00934</v>
      </c>
      <c r="T254" s="2">
        <f ca="1">IFERROR(__xludf.DUMMYFUNCTION("""COMPUTED_VALUE"""),2024)</f>
        <v>2024</v>
      </c>
      <c r="U254" s="2" t="str">
        <f ca="1">IFERROR(__xludf.DUMMYFUNCTION("""COMPUTED_VALUE"""),"0340")</f>
        <v>0340</v>
      </c>
      <c r="V254" s="2" t="str">
        <f ca="1">IFERROR(__xludf.DUMMYFUNCTION("""COMPUTED_VALUE"""),"06.001.0010.0302.0094.2042.33.72.39")</f>
        <v>06.001.0010.0302.0094.2042.33.72.39</v>
      </c>
      <c r="W254" s="2" t="str">
        <f ca="1">IFERROR(__xludf.DUMMYFUNCTION("""COMPUTED_VALUE"""),"4941")</f>
        <v>4941</v>
      </c>
      <c r="X254" s="2"/>
      <c r="Y254" s="2"/>
      <c r="Z254" s="2"/>
      <c r="AA254" s="2"/>
      <c r="AB254" s="2"/>
      <c r="AC254" s="2"/>
      <c r="AD254" s="2"/>
      <c r="AE254" s="2"/>
      <c r="AF254" s="2"/>
    </row>
    <row r="255" spans="1:32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>
        <f ca="1">IFERROR(__xludf.DUMMYFUNCTION("""COMPUTED_VALUE"""),2023)</f>
        <v>2023</v>
      </c>
      <c r="Q255" s="2" t="str">
        <f ca="1">IFERROR(__xludf.DUMMYFUNCTION("""COMPUTED_VALUE"""),"0299")</f>
        <v>0299</v>
      </c>
      <c r="R255" s="2" t="str">
        <f ca="1">IFERROR(__xludf.DUMMYFUNCTION("""COMPUTED_VALUE"""),"18.001.0004.0121.0140.2023.33.90.31")</f>
        <v>18.001.0004.0121.0140.2023.33.90.31</v>
      </c>
      <c r="S255" s="2" t="str">
        <f ca="1">IFERROR(__xludf.DUMMYFUNCTION("""COMPUTED_VALUE"""),"0000")</f>
        <v>0000</v>
      </c>
      <c r="T255" s="2">
        <f ca="1">IFERROR(__xludf.DUMMYFUNCTION("""COMPUTED_VALUE"""),2024)</f>
        <v>2024</v>
      </c>
      <c r="U255" s="2" t="str">
        <f ca="1">IFERROR(__xludf.DUMMYFUNCTION("""COMPUTED_VALUE"""),"0343")</f>
        <v>0343</v>
      </c>
      <c r="V255" s="2" t="str">
        <f ca="1">IFERROR(__xludf.DUMMYFUNCTION("""COMPUTED_VALUE"""),"06.001.0010.0302.0094.2042.33.90.30")</f>
        <v>06.001.0010.0302.0094.2042.33.90.30</v>
      </c>
      <c r="W255" s="2" t="str">
        <f ca="1">IFERROR(__xludf.DUMMYFUNCTION("""COMPUTED_VALUE"""),"4942")</f>
        <v>4942</v>
      </c>
      <c r="X255" s="2"/>
      <c r="Y255" s="2"/>
      <c r="Z255" s="2"/>
      <c r="AA255" s="2"/>
      <c r="AB255" s="2"/>
      <c r="AC255" s="2"/>
      <c r="AD255" s="2"/>
      <c r="AE255" s="2"/>
      <c r="AF255" s="2"/>
    </row>
    <row r="256" spans="1:32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>
        <f ca="1">IFERROR(__xludf.DUMMYFUNCTION("""COMPUTED_VALUE"""),2023)</f>
        <v>2023</v>
      </c>
      <c r="Q256" s="2" t="str">
        <f ca="1">IFERROR(__xludf.DUMMYFUNCTION("""COMPUTED_VALUE"""),"0300")</f>
        <v>0300</v>
      </c>
      <c r="R256" s="2" t="str">
        <f ca="1">IFERROR(__xludf.DUMMYFUNCTION("""COMPUTED_VALUE"""),"18.002.0006.0181.0140.2024.33.90.31")</f>
        <v>18.002.0006.0181.0140.2024.33.90.31</v>
      </c>
      <c r="S256" s="2" t="str">
        <f ca="1">IFERROR(__xludf.DUMMYFUNCTION("""COMPUTED_VALUE"""),"0000")</f>
        <v>0000</v>
      </c>
      <c r="T256" s="2">
        <f ca="1">IFERROR(__xludf.DUMMYFUNCTION("""COMPUTED_VALUE"""),2024)</f>
        <v>2024</v>
      </c>
      <c r="U256" s="2" t="str">
        <f ca="1">IFERROR(__xludf.DUMMYFUNCTION("""COMPUTED_VALUE"""),"0338")</f>
        <v>0338</v>
      </c>
      <c r="V256" s="2" t="str">
        <f ca="1">IFERROR(__xludf.DUMMYFUNCTION("""COMPUTED_VALUE"""),"06.001.0010.0302.0094.2042.33.90.39")</f>
        <v>06.001.0010.0302.0094.2042.33.90.39</v>
      </c>
      <c r="W256" s="2" t="str">
        <f ca="1">IFERROR(__xludf.DUMMYFUNCTION("""COMPUTED_VALUE"""),"303")</f>
        <v>303</v>
      </c>
      <c r="X256" s="2"/>
      <c r="Y256" s="2"/>
      <c r="Z256" s="2"/>
      <c r="AA256" s="2"/>
      <c r="AB256" s="2"/>
      <c r="AC256" s="2"/>
      <c r="AD256" s="2"/>
      <c r="AE256" s="2"/>
      <c r="AF256" s="2"/>
    </row>
    <row r="257" spans="1:32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>
        <f ca="1">IFERROR(__xludf.DUMMYFUNCTION("""COMPUTED_VALUE"""),2023)</f>
        <v>2023</v>
      </c>
      <c r="Q257" s="2" t="str">
        <f ca="1">IFERROR(__xludf.DUMMYFUNCTION("""COMPUTED_VALUE"""),"0301")</f>
        <v>0301</v>
      </c>
      <c r="R257" s="2" t="str">
        <f ca="1">IFERROR(__xludf.DUMMYFUNCTION("""COMPUTED_VALUE"""),"18.002.0006.0181.0140.2024.33.90.31")</f>
        <v>18.002.0006.0181.0140.2024.33.90.31</v>
      </c>
      <c r="S257" s="2" t="str">
        <f ca="1">IFERROR(__xludf.DUMMYFUNCTION("""COMPUTED_VALUE"""),"01011")</f>
        <v>01011</v>
      </c>
      <c r="T257" s="2">
        <f ca="1">IFERROR(__xludf.DUMMYFUNCTION("""COMPUTED_VALUE"""),2024)</f>
        <v>2024</v>
      </c>
      <c r="U257" s="2" t="str">
        <f ca="1">IFERROR(__xludf.DUMMYFUNCTION("""COMPUTED_VALUE"""),"0339")</f>
        <v>0339</v>
      </c>
      <c r="V257" s="2" t="str">
        <f ca="1">IFERROR(__xludf.DUMMYFUNCTION("""COMPUTED_VALUE"""),"06.001.0010.0302.0094.2043.31.90.07")</f>
        <v>06.001.0010.0302.0094.2043.31.90.07</v>
      </c>
      <c r="W257" s="2" t="str">
        <f ca="1">IFERROR(__xludf.DUMMYFUNCTION("""COMPUTED_VALUE"""),"303")</f>
        <v>303</v>
      </c>
      <c r="X257" s="2"/>
      <c r="Y257" s="2"/>
      <c r="Z257" s="2"/>
      <c r="AA257" s="2"/>
      <c r="AB257" s="2"/>
      <c r="AC257" s="2"/>
      <c r="AD257" s="2"/>
      <c r="AE257" s="2"/>
      <c r="AF257" s="2"/>
    </row>
    <row r="258" spans="1:32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>
        <f ca="1">IFERROR(__xludf.DUMMYFUNCTION("""COMPUTED_VALUE"""),2023)</f>
        <v>2023</v>
      </c>
      <c r="Q258" s="2" t="str">
        <f ca="1">IFERROR(__xludf.DUMMYFUNCTION("""COMPUTED_VALUE"""),"0302")</f>
        <v>0302</v>
      </c>
      <c r="R258" s="2" t="str">
        <f ca="1">IFERROR(__xludf.DUMMYFUNCTION("""COMPUTED_VALUE"""),"18.003.0015.0452.0140.2027.33.90.31")</f>
        <v>18.003.0015.0452.0140.2027.33.90.31</v>
      </c>
      <c r="S258" s="2" t="str">
        <f ca="1">IFERROR(__xludf.DUMMYFUNCTION("""COMPUTED_VALUE"""),"0000")</f>
        <v>0000</v>
      </c>
      <c r="T258" s="2">
        <f ca="1">IFERROR(__xludf.DUMMYFUNCTION("""COMPUTED_VALUE"""),2024)</f>
        <v>2024</v>
      </c>
      <c r="U258" s="2" t="str">
        <f ca="1">IFERROR(__xludf.DUMMYFUNCTION("""COMPUTED_VALUE"""),"1193")</f>
        <v>1193</v>
      </c>
      <c r="V258" s="2" t="str">
        <f ca="1">IFERROR(__xludf.DUMMYFUNCTION("""COMPUTED_VALUE"""),"06.001.0010.0302.0094.2043.31.90.07")</f>
        <v>06.001.0010.0302.0094.2043.31.90.07</v>
      </c>
      <c r="W258" s="2" t="str">
        <f ca="1">IFERROR(__xludf.DUMMYFUNCTION("""COMPUTED_VALUE"""),"303")</f>
        <v>303</v>
      </c>
      <c r="X258" s="2"/>
      <c r="Y258" s="2"/>
      <c r="Z258" s="2"/>
      <c r="AA258" s="2"/>
      <c r="AB258" s="2"/>
      <c r="AC258" s="2"/>
      <c r="AD258" s="2"/>
      <c r="AE258" s="2"/>
      <c r="AF258" s="2"/>
    </row>
    <row r="259" spans="1:32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>
        <f ca="1">IFERROR(__xludf.DUMMYFUNCTION("""COMPUTED_VALUE"""),2023)</f>
        <v>2023</v>
      </c>
      <c r="Q259" s="2" t="str">
        <f ca="1">IFERROR(__xludf.DUMMYFUNCTION("""COMPUTED_VALUE"""),"0303")</f>
        <v>0303</v>
      </c>
      <c r="R259" s="2" t="str">
        <f ca="1">IFERROR(__xludf.DUMMYFUNCTION("""COMPUTED_VALUE"""),"18.003.0015.0452.0140.2027.33.90.31")</f>
        <v>18.003.0015.0452.0140.2027.33.90.31</v>
      </c>
      <c r="S259" s="2" t="str">
        <f ca="1">IFERROR(__xludf.DUMMYFUNCTION("""COMPUTED_VALUE"""),"00509")</f>
        <v>00509</v>
      </c>
      <c r="T259" s="2">
        <f ca="1">IFERROR(__xludf.DUMMYFUNCTION("""COMPUTED_VALUE"""),2024)</f>
        <v>2024</v>
      </c>
      <c r="U259" s="2" t="str">
        <f ca="1">IFERROR(__xludf.DUMMYFUNCTION("""COMPUTED_VALUE"""),"1194")</f>
        <v>1194</v>
      </c>
      <c r="V259" s="2" t="str">
        <f ca="1">IFERROR(__xludf.DUMMYFUNCTION("""COMPUTED_VALUE"""),"06.001.0010.0302.0094.2043.31.90.11")</f>
        <v>06.001.0010.0302.0094.2043.31.90.11</v>
      </c>
      <c r="W259" s="2" t="str">
        <f ca="1">IFERROR(__xludf.DUMMYFUNCTION("""COMPUTED_VALUE"""),"4942")</f>
        <v>4942</v>
      </c>
      <c r="X259" s="2"/>
      <c r="Y259" s="2"/>
      <c r="Z259" s="2"/>
      <c r="AA259" s="2"/>
      <c r="AB259" s="2"/>
      <c r="AC259" s="2"/>
      <c r="AD259" s="2"/>
      <c r="AE259" s="2"/>
      <c r="AF259" s="2"/>
    </row>
    <row r="260" spans="1:32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>
        <f ca="1">IFERROR(__xludf.DUMMYFUNCTION("""COMPUTED_VALUE"""),2023)</f>
        <v>2023</v>
      </c>
      <c r="Q260" s="2" t="str">
        <f ca="1">IFERROR(__xludf.DUMMYFUNCTION("""COMPUTED_VALUE"""),"0304")</f>
        <v>0304</v>
      </c>
      <c r="R260" s="2" t="str">
        <f ca="1">IFERROR(__xludf.DUMMYFUNCTION("""COMPUTED_VALUE"""),"18.004.0006.0181.0140.2142.33.90.31")</f>
        <v>18.004.0006.0181.0140.2142.33.90.31</v>
      </c>
      <c r="S260" s="2" t="str">
        <f ca="1">IFERROR(__xludf.DUMMYFUNCTION("""COMPUTED_VALUE"""),"0000")</f>
        <v>0000</v>
      </c>
      <c r="T260" s="2">
        <f ca="1">IFERROR(__xludf.DUMMYFUNCTION("""COMPUTED_VALUE"""),2024)</f>
        <v>2024</v>
      </c>
      <c r="U260" s="2" t="str">
        <f ca="1">IFERROR(__xludf.DUMMYFUNCTION("""COMPUTED_VALUE"""),"0344")</f>
        <v>0344</v>
      </c>
      <c r="V260" s="2" t="str">
        <f ca="1">IFERROR(__xludf.DUMMYFUNCTION("""COMPUTED_VALUE"""),"06.001.0010.0302.0094.2043.31.90.11")</f>
        <v>06.001.0010.0302.0094.2043.31.90.11</v>
      </c>
      <c r="W260" s="2" t="str">
        <f ca="1">IFERROR(__xludf.DUMMYFUNCTION("""COMPUTED_VALUE"""),"303")</f>
        <v>303</v>
      </c>
      <c r="X260" s="2"/>
      <c r="Y260" s="2"/>
      <c r="Z260" s="2"/>
      <c r="AA260" s="2"/>
      <c r="AB260" s="2"/>
      <c r="AC260" s="2"/>
      <c r="AD260" s="2"/>
      <c r="AE260" s="2"/>
      <c r="AF260" s="2"/>
    </row>
    <row r="261" spans="1:32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>
        <f ca="1">IFERROR(__xludf.DUMMYFUNCTION("""COMPUTED_VALUE"""),2023)</f>
        <v>2023</v>
      </c>
      <c r="Q261" s="2" t="str">
        <f ca="1">IFERROR(__xludf.DUMMYFUNCTION("""COMPUTED_VALUE"""),"0305")</f>
        <v>0305</v>
      </c>
      <c r="R261" s="2" t="str">
        <f ca="1">IFERROR(__xludf.DUMMYFUNCTION("""COMPUTED_VALUE"""),"18.004.0015.0452.0140.2145.33.90.31")</f>
        <v>18.004.0015.0452.0140.2145.33.90.31</v>
      </c>
      <c r="S261" s="2" t="str">
        <f ca="1">IFERROR(__xludf.DUMMYFUNCTION("""COMPUTED_VALUE"""),"0000")</f>
        <v>0000</v>
      </c>
      <c r="T261" s="2">
        <f ca="1">IFERROR(__xludf.DUMMYFUNCTION("""COMPUTED_VALUE"""),2024)</f>
        <v>2024</v>
      </c>
      <c r="U261" s="2" t="str">
        <f ca="1">IFERROR(__xludf.DUMMYFUNCTION("""COMPUTED_VALUE"""),"0347")</f>
        <v>0347</v>
      </c>
      <c r="V261" s="2" t="str">
        <f ca="1">IFERROR(__xludf.DUMMYFUNCTION("""COMPUTED_VALUE"""),"06.001.0010.0302.0094.2043.31.90.13")</f>
        <v>06.001.0010.0302.0094.2043.31.90.13</v>
      </c>
      <c r="W261" s="2" t="str">
        <f ca="1">IFERROR(__xludf.DUMMYFUNCTION("""COMPUTED_VALUE"""),"4942")</f>
        <v>4942</v>
      </c>
      <c r="X261" s="2"/>
      <c r="Y261" s="2"/>
      <c r="Z261" s="2"/>
      <c r="AA261" s="2"/>
      <c r="AB261" s="2"/>
      <c r="AC261" s="2"/>
      <c r="AD261" s="2"/>
      <c r="AE261" s="2"/>
      <c r="AF261" s="2"/>
    </row>
    <row r="262" spans="1:3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>
        <f ca="1">IFERROR(__xludf.DUMMYFUNCTION("""COMPUTED_VALUE"""),2023)</f>
        <v>2023</v>
      </c>
      <c r="Q262" s="2" t="str">
        <f ca="1">IFERROR(__xludf.DUMMYFUNCTION("""COMPUTED_VALUE"""),"0306")</f>
        <v>0306</v>
      </c>
      <c r="R262" s="2" t="str">
        <f ca="1">IFERROR(__xludf.DUMMYFUNCTION("""COMPUTED_VALUE"""),"02.007.0004.0122.0022.2146.33.90.32")</f>
        <v>02.007.0004.0122.0022.2146.33.90.32</v>
      </c>
      <c r="S262" s="2" t="str">
        <f ca="1">IFERROR(__xludf.DUMMYFUNCTION("""COMPUTED_VALUE"""),"0000")</f>
        <v>0000</v>
      </c>
      <c r="T262" s="2">
        <f ca="1">IFERROR(__xludf.DUMMYFUNCTION("""COMPUTED_VALUE"""),2024)</f>
        <v>2024</v>
      </c>
      <c r="U262" s="2" t="str">
        <f ca="1">IFERROR(__xludf.DUMMYFUNCTION("""COMPUTED_VALUE"""),"0345")</f>
        <v>0345</v>
      </c>
      <c r="V262" s="2" t="str">
        <f ca="1">IFERROR(__xludf.DUMMYFUNCTION("""COMPUTED_VALUE"""),"06.001.0010.0302.0094.2043.31.91.13")</f>
        <v>06.001.0010.0302.0094.2043.31.91.13</v>
      </c>
      <c r="W262" s="2" t="str">
        <f ca="1">IFERROR(__xludf.DUMMYFUNCTION("""COMPUTED_VALUE"""),"303")</f>
        <v>303</v>
      </c>
      <c r="X262" s="2"/>
      <c r="Y262" s="2"/>
      <c r="Z262" s="2"/>
      <c r="AA262" s="2"/>
      <c r="AB262" s="2"/>
      <c r="AC262" s="2"/>
      <c r="AD262" s="2"/>
      <c r="AE262" s="2"/>
      <c r="AF262" s="2"/>
    </row>
    <row r="263" spans="1:32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>
        <f ca="1">IFERROR(__xludf.DUMMYFUNCTION("""COMPUTED_VALUE"""),2023)</f>
        <v>2023</v>
      </c>
      <c r="Q263" s="2" t="str">
        <f ca="1">IFERROR(__xludf.DUMMYFUNCTION("""COMPUTED_VALUE"""),"0307")</f>
        <v>0307</v>
      </c>
      <c r="R263" s="2" t="str">
        <f ca="1">IFERROR(__xludf.DUMMYFUNCTION("""COMPUTED_VALUE"""),"04.001.0004.0122.0040.2001.33.90.32")</f>
        <v>04.001.0004.0122.0040.2001.33.90.32</v>
      </c>
      <c r="S263" s="2" t="str">
        <f ca="1">IFERROR(__xludf.DUMMYFUNCTION("""COMPUTED_VALUE"""),"0000")</f>
        <v>0000</v>
      </c>
      <c r="T263" s="2">
        <f ca="1">IFERROR(__xludf.DUMMYFUNCTION("""COMPUTED_VALUE"""),2024)</f>
        <v>2024</v>
      </c>
      <c r="U263" s="2" t="str">
        <f ca="1">IFERROR(__xludf.DUMMYFUNCTION("""COMPUTED_VALUE"""),"0346")</f>
        <v>0346</v>
      </c>
      <c r="V263" s="2" t="str">
        <f ca="1">IFERROR(__xludf.DUMMYFUNCTION("""COMPUTED_VALUE"""),"06.001.0010.0302.0094.2043.31.91.13")</f>
        <v>06.001.0010.0302.0094.2043.31.91.13</v>
      </c>
      <c r="W263" s="2" t="str">
        <f ca="1">IFERROR(__xludf.DUMMYFUNCTION("""COMPUTED_VALUE"""),"303")</f>
        <v>303</v>
      </c>
      <c r="X263" s="2"/>
      <c r="Y263" s="2"/>
      <c r="Z263" s="2"/>
      <c r="AA263" s="2"/>
      <c r="AB263" s="2"/>
      <c r="AC263" s="2"/>
      <c r="AD263" s="2"/>
      <c r="AE263" s="2"/>
      <c r="AF263" s="2"/>
    </row>
    <row r="264" spans="1:32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>
        <f ca="1">IFERROR(__xludf.DUMMYFUNCTION("""COMPUTED_VALUE"""),2023)</f>
        <v>2023</v>
      </c>
      <c r="Q264" s="2" t="str">
        <f ca="1">IFERROR(__xludf.DUMMYFUNCTION("""COMPUTED_VALUE"""),"0308")</f>
        <v>0308</v>
      </c>
      <c r="R264" s="2" t="str">
        <f ca="1">IFERROR(__xludf.DUMMYFUNCTION("""COMPUTED_VALUE"""),"05.001.0012.0366.0074.2056.33.90.32")</f>
        <v>05.001.0012.0366.0074.2056.33.90.32</v>
      </c>
      <c r="S264" s="2" t="str">
        <f ca="1">IFERROR(__xludf.DUMMYFUNCTION("""COMPUTED_VALUE"""),"01042")</f>
        <v>01042</v>
      </c>
      <c r="T264" s="2">
        <f ca="1">IFERROR(__xludf.DUMMYFUNCTION("""COMPUTED_VALUE"""),2024)</f>
        <v>2024</v>
      </c>
      <c r="U264" s="2" t="str">
        <f ca="1">IFERROR(__xludf.DUMMYFUNCTION("""COMPUTED_VALUE"""),"0348")</f>
        <v>0348</v>
      </c>
      <c r="V264" s="2" t="str">
        <f ca="1">IFERROR(__xludf.DUMMYFUNCTION("""COMPUTED_VALUE"""),"06.001.0010.0302.0094.2043.33.90.14")</f>
        <v>06.001.0010.0302.0094.2043.33.90.14</v>
      </c>
      <c r="W264" s="2" t="str">
        <f ca="1">IFERROR(__xludf.DUMMYFUNCTION("""COMPUTED_VALUE"""),"4942")</f>
        <v>4942</v>
      </c>
      <c r="X264" s="2"/>
      <c r="Y264" s="2"/>
      <c r="Z264" s="2"/>
      <c r="AA264" s="2"/>
      <c r="AB264" s="2"/>
      <c r="AC264" s="2"/>
      <c r="AD264" s="2"/>
      <c r="AE264" s="2"/>
      <c r="AF264" s="2"/>
    </row>
    <row r="265" spans="1:32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>
        <f ca="1">IFERROR(__xludf.DUMMYFUNCTION("""COMPUTED_VALUE"""),2023)</f>
        <v>2023</v>
      </c>
      <c r="Q265" s="2" t="str">
        <f ca="1">IFERROR(__xludf.DUMMYFUNCTION("""COMPUTED_VALUE"""),"0309")</f>
        <v>0309</v>
      </c>
      <c r="R265" s="2" t="str">
        <f ca="1">IFERROR(__xludf.DUMMYFUNCTION("""COMPUTED_VALUE"""),"05.001.0012.0366.0074.2057.33.90.32")</f>
        <v>05.001.0012.0366.0074.2057.33.90.32</v>
      </c>
      <c r="S265" s="2" t="str">
        <f ca="1">IFERROR(__xludf.DUMMYFUNCTION("""COMPUTED_VALUE"""),"00104")</f>
        <v>00104</v>
      </c>
      <c r="T265" s="2">
        <f ca="1">IFERROR(__xludf.DUMMYFUNCTION("""COMPUTED_VALUE"""),2024)</f>
        <v>2024</v>
      </c>
      <c r="U265" s="2" t="str">
        <f ca="1">IFERROR(__xludf.DUMMYFUNCTION("""COMPUTED_VALUE"""),"0349")</f>
        <v>0349</v>
      </c>
      <c r="V265" s="2" t="str">
        <f ca="1">IFERROR(__xludf.DUMMYFUNCTION("""COMPUTED_VALUE"""),"06.001.0010.0302.0094.2043.33.90.30")</f>
        <v>06.001.0010.0302.0094.2043.33.90.30</v>
      </c>
      <c r="W265" s="2" t="str">
        <f ca="1">IFERROR(__xludf.DUMMYFUNCTION("""COMPUTED_VALUE"""),"4942")</f>
        <v>4942</v>
      </c>
      <c r="X265" s="2"/>
      <c r="Y265" s="2"/>
      <c r="Z265" s="2"/>
      <c r="AA265" s="2"/>
      <c r="AB265" s="2"/>
      <c r="AC265" s="2"/>
      <c r="AD265" s="2"/>
      <c r="AE265" s="2"/>
      <c r="AF265" s="2"/>
    </row>
    <row r="266" spans="1:32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>
        <f ca="1">IFERROR(__xludf.DUMMYFUNCTION("""COMPUTED_VALUE"""),2023)</f>
        <v>2023</v>
      </c>
      <c r="Q266" s="2" t="str">
        <f ca="1">IFERROR(__xludf.DUMMYFUNCTION("""COMPUTED_VALUE"""),"0310")</f>
        <v>0310</v>
      </c>
      <c r="R266" s="2" t="str">
        <f ca="1">IFERROR(__xludf.DUMMYFUNCTION("""COMPUTED_VALUE"""),"05.001.0012.0361.0074.6005.33.90.32")</f>
        <v>05.001.0012.0361.0074.6005.33.90.32</v>
      </c>
      <c r="S266" s="2" t="str">
        <f ca="1">IFERROR(__xludf.DUMMYFUNCTION("""COMPUTED_VALUE"""),"00110")</f>
        <v>00110</v>
      </c>
      <c r="T266" s="2">
        <f ca="1">IFERROR(__xludf.DUMMYFUNCTION("""COMPUTED_VALUE"""),2024)</f>
        <v>2024</v>
      </c>
      <c r="U266" s="2" t="str">
        <f ca="1">IFERROR(__xludf.DUMMYFUNCTION("""COMPUTED_VALUE"""),"0350")</f>
        <v>0350</v>
      </c>
      <c r="V266" s="2" t="str">
        <f ca="1">IFERROR(__xludf.DUMMYFUNCTION("""COMPUTED_VALUE"""),"06.001.0010.0302.0094.2043.33.90.31")</f>
        <v>06.001.0010.0302.0094.2043.33.90.31</v>
      </c>
      <c r="W266" s="2" t="str">
        <f ca="1">IFERROR(__xludf.DUMMYFUNCTION("""COMPUTED_VALUE"""),"4942")</f>
        <v>4942</v>
      </c>
      <c r="X266" s="2"/>
      <c r="Y266" s="2"/>
      <c r="Z266" s="2"/>
      <c r="AA266" s="2"/>
      <c r="AB266" s="2"/>
      <c r="AC266" s="2"/>
      <c r="AD266" s="2"/>
      <c r="AE266" s="2"/>
      <c r="AF266" s="2"/>
    </row>
    <row r="267" spans="1:32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>
        <f ca="1">IFERROR(__xludf.DUMMYFUNCTION("""COMPUTED_VALUE"""),2023)</f>
        <v>2023</v>
      </c>
      <c r="Q267" s="2" t="str">
        <f ca="1">IFERROR(__xludf.DUMMYFUNCTION("""COMPUTED_VALUE"""),"0311")</f>
        <v>0311</v>
      </c>
      <c r="R267" s="2" t="str">
        <f ca="1">IFERROR(__xludf.DUMMYFUNCTION("""COMPUTED_VALUE"""),"05.001.0012.0361.0074.6005.33.90.32")</f>
        <v>05.001.0012.0361.0074.6005.33.90.32</v>
      </c>
      <c r="S267" s="2" t="str">
        <f ca="1">IFERROR(__xludf.DUMMYFUNCTION("""COMPUTED_VALUE"""),"01042")</f>
        <v>01042</v>
      </c>
      <c r="T267" s="2">
        <f ca="1">IFERROR(__xludf.DUMMYFUNCTION("""COMPUTED_VALUE"""),2024)</f>
        <v>2024</v>
      </c>
      <c r="U267" s="2" t="str">
        <f ca="1">IFERROR(__xludf.DUMMYFUNCTION("""COMPUTED_VALUE"""),"0351")</f>
        <v>0351</v>
      </c>
      <c r="V267" s="2" t="str">
        <f ca="1">IFERROR(__xludf.DUMMYFUNCTION("""COMPUTED_VALUE"""),"06.001.0010.0302.0094.2043.33.90.32")</f>
        <v>06.001.0010.0302.0094.2043.33.90.32</v>
      </c>
      <c r="W267" s="2" t="str">
        <f ca="1">IFERROR(__xludf.DUMMYFUNCTION("""COMPUTED_VALUE"""),"4942")</f>
        <v>4942</v>
      </c>
      <c r="X267" s="2"/>
      <c r="Y267" s="2"/>
      <c r="Z267" s="2"/>
      <c r="AA267" s="2"/>
      <c r="AB267" s="2"/>
      <c r="AC267" s="2"/>
      <c r="AD267" s="2"/>
      <c r="AE267" s="2"/>
      <c r="AF267" s="2"/>
    </row>
    <row r="268" spans="1:32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>
        <f ca="1">IFERROR(__xludf.DUMMYFUNCTION("""COMPUTED_VALUE"""),2023)</f>
        <v>2023</v>
      </c>
      <c r="Q268" s="2" t="str">
        <f ca="1">IFERROR(__xludf.DUMMYFUNCTION("""COMPUTED_VALUE"""),"0312")</f>
        <v>0312</v>
      </c>
      <c r="R268" s="2" t="str">
        <f ca="1">IFERROR(__xludf.DUMMYFUNCTION("""COMPUTED_VALUE"""),"05.001.0004.0122.0074.6006.33.90.32")</f>
        <v>05.001.0004.0122.0074.6006.33.90.32</v>
      </c>
      <c r="S268" s="2" t="str">
        <f ca="1">IFERROR(__xludf.DUMMYFUNCTION("""COMPUTED_VALUE"""),"0000")</f>
        <v>0000</v>
      </c>
      <c r="T268" s="2">
        <f ca="1">IFERROR(__xludf.DUMMYFUNCTION("""COMPUTED_VALUE"""),2024)</f>
        <v>2024</v>
      </c>
      <c r="U268" s="2" t="str">
        <f ca="1">IFERROR(__xludf.DUMMYFUNCTION("""COMPUTED_VALUE"""),"0352")</f>
        <v>0352</v>
      </c>
      <c r="V268" s="2" t="str">
        <f ca="1">IFERROR(__xludf.DUMMYFUNCTION("""COMPUTED_VALUE"""),"06.001.0010.0302.0094.2043.33.90.33")</f>
        <v>06.001.0010.0302.0094.2043.33.90.33</v>
      </c>
      <c r="W268" s="2" t="str">
        <f ca="1">IFERROR(__xludf.DUMMYFUNCTION("""COMPUTED_VALUE"""),"4942")</f>
        <v>4942</v>
      </c>
      <c r="X268" s="2"/>
      <c r="Y268" s="2"/>
      <c r="Z268" s="2"/>
      <c r="AA268" s="2"/>
      <c r="AB268" s="2"/>
      <c r="AC268" s="2"/>
      <c r="AD268" s="2"/>
      <c r="AE268" s="2"/>
      <c r="AF268" s="2"/>
    </row>
    <row r="269" spans="1:32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>
        <f ca="1">IFERROR(__xludf.DUMMYFUNCTION("""COMPUTED_VALUE"""),2023)</f>
        <v>2023</v>
      </c>
      <c r="Q269" s="2" t="str">
        <f ca="1">IFERROR(__xludf.DUMMYFUNCTION("""COMPUTED_VALUE"""),"0313")</f>
        <v>0313</v>
      </c>
      <c r="R269" s="2" t="str">
        <f ca="1">IFERROR(__xludf.DUMMYFUNCTION("""COMPUTED_VALUE"""),"05.001.0012.0365.0074.6007.33.90.32")</f>
        <v>05.001.0012.0365.0074.6007.33.90.32</v>
      </c>
      <c r="S269" s="2" t="str">
        <f ca="1">IFERROR(__xludf.DUMMYFUNCTION("""COMPUTED_VALUE"""),"01042")</f>
        <v>01042</v>
      </c>
      <c r="T269" s="2">
        <f ca="1">IFERROR(__xludf.DUMMYFUNCTION("""COMPUTED_VALUE"""),2024)</f>
        <v>2024</v>
      </c>
      <c r="U269" s="2" t="str">
        <f ca="1">IFERROR(__xludf.DUMMYFUNCTION("""COMPUTED_VALUE"""),"0353")</f>
        <v>0353</v>
      </c>
      <c r="V269" s="2" t="str">
        <f ca="1">IFERROR(__xludf.DUMMYFUNCTION("""COMPUTED_VALUE"""),"06.001.0010.0302.0094.2043.33.90.36")</f>
        <v>06.001.0010.0302.0094.2043.33.90.36</v>
      </c>
      <c r="W269" s="2" t="str">
        <f ca="1">IFERROR(__xludf.DUMMYFUNCTION("""COMPUTED_VALUE"""),"4942")</f>
        <v>4942</v>
      </c>
      <c r="X269" s="2"/>
      <c r="Y269" s="2"/>
      <c r="Z269" s="2"/>
      <c r="AA269" s="2"/>
      <c r="AB269" s="2"/>
      <c r="AC269" s="2"/>
      <c r="AD269" s="2"/>
      <c r="AE269" s="2"/>
      <c r="AF269" s="2"/>
    </row>
    <row r="270" spans="1:32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>
        <f ca="1">IFERROR(__xludf.DUMMYFUNCTION("""COMPUTED_VALUE"""),2023)</f>
        <v>2023</v>
      </c>
      <c r="Q270" s="2" t="str">
        <f ca="1">IFERROR(__xludf.DUMMYFUNCTION("""COMPUTED_VALUE"""),"0314")</f>
        <v>0314</v>
      </c>
      <c r="R270" s="2" t="str">
        <f ca="1">IFERROR(__xludf.DUMMYFUNCTION("""COMPUTED_VALUE"""),"05.001.0012.0367.0074.6010.33.90.32")</f>
        <v>05.001.0012.0367.0074.6010.33.90.32</v>
      </c>
      <c r="S270" s="2" t="str">
        <f ca="1">IFERROR(__xludf.DUMMYFUNCTION("""COMPUTED_VALUE"""),"00104")</f>
        <v>00104</v>
      </c>
      <c r="T270" s="2">
        <f ca="1">IFERROR(__xludf.DUMMYFUNCTION("""COMPUTED_VALUE"""),2024)</f>
        <v>2024</v>
      </c>
      <c r="U270" s="2" t="str">
        <f ca="1">IFERROR(__xludf.DUMMYFUNCTION("""COMPUTED_VALUE"""),"0354")</f>
        <v>0354</v>
      </c>
      <c r="V270" s="2" t="str">
        <f ca="1">IFERROR(__xludf.DUMMYFUNCTION("""COMPUTED_VALUE"""),"06.001.0010.0302.0094.2043.33.90.37")</f>
        <v>06.001.0010.0302.0094.2043.33.90.37</v>
      </c>
      <c r="W270" s="2" t="str">
        <f ca="1">IFERROR(__xludf.DUMMYFUNCTION("""COMPUTED_VALUE"""),"4942")</f>
        <v>4942</v>
      </c>
      <c r="X270" s="2"/>
      <c r="Y270" s="2"/>
      <c r="Z270" s="2"/>
      <c r="AA270" s="2"/>
      <c r="AB270" s="2"/>
      <c r="AC270" s="2"/>
      <c r="AD270" s="2"/>
      <c r="AE270" s="2"/>
      <c r="AF270" s="2"/>
    </row>
    <row r="271" spans="1:32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>
        <f ca="1">IFERROR(__xludf.DUMMYFUNCTION("""COMPUTED_VALUE"""),2023)</f>
        <v>2023</v>
      </c>
      <c r="Q271" s="2" t="str">
        <f ca="1">IFERROR(__xludf.DUMMYFUNCTION("""COMPUTED_VALUE"""),"0315")</f>
        <v>0315</v>
      </c>
      <c r="R271" s="2" t="str">
        <f ca="1">IFERROR(__xludf.DUMMYFUNCTION("""COMPUTED_VALUE"""),"05.001.0012.0361.0074.6012.33.90.32")</f>
        <v>05.001.0012.0361.0074.6012.33.90.32</v>
      </c>
      <c r="S271" s="2" t="str">
        <f ca="1">IFERROR(__xludf.DUMMYFUNCTION("""COMPUTED_VALUE"""),"00107")</f>
        <v>00107</v>
      </c>
      <c r="T271" s="2">
        <f ca="1">IFERROR(__xludf.DUMMYFUNCTION("""COMPUTED_VALUE"""),2024)</f>
        <v>2024</v>
      </c>
      <c r="U271" s="2" t="str">
        <f ca="1">IFERROR(__xludf.DUMMYFUNCTION("""COMPUTED_VALUE"""),"0355")</f>
        <v>0355</v>
      </c>
      <c r="V271" s="2" t="str">
        <f ca="1">IFERROR(__xludf.DUMMYFUNCTION("""COMPUTED_VALUE"""),"06.001.0010.0302.0094.2043.33.90.39")</f>
        <v>06.001.0010.0302.0094.2043.33.90.39</v>
      </c>
      <c r="W271" s="2" t="str">
        <f ca="1">IFERROR(__xludf.DUMMYFUNCTION("""COMPUTED_VALUE"""),"4942")</f>
        <v>4942</v>
      </c>
      <c r="X271" s="2"/>
      <c r="Y271" s="2"/>
      <c r="Z271" s="2"/>
      <c r="AA271" s="2"/>
      <c r="AB271" s="2"/>
      <c r="AC271" s="2"/>
      <c r="AD271" s="2"/>
      <c r="AE271" s="2"/>
      <c r="AF271" s="2"/>
    </row>
    <row r="272" spans="1:3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>
        <f ca="1">IFERROR(__xludf.DUMMYFUNCTION("""COMPUTED_VALUE"""),2023)</f>
        <v>2023</v>
      </c>
      <c r="Q272" s="2" t="str">
        <f ca="1">IFERROR(__xludf.DUMMYFUNCTION("""COMPUTED_VALUE"""),"0316")</f>
        <v>0316</v>
      </c>
      <c r="R272" s="2" t="str">
        <f ca="1">IFERROR(__xludf.DUMMYFUNCTION("""COMPUTED_VALUE"""),"05.001.0012.0365.0074.6013.33.90.32")</f>
        <v>05.001.0012.0365.0074.6013.33.90.32</v>
      </c>
      <c r="S272" s="2" t="str">
        <f ca="1">IFERROR(__xludf.DUMMYFUNCTION("""COMPUTED_VALUE"""),"01042")</f>
        <v>01042</v>
      </c>
      <c r="T272" s="2">
        <f ca="1">IFERROR(__xludf.DUMMYFUNCTION("""COMPUTED_VALUE"""),2024)</f>
        <v>2024</v>
      </c>
      <c r="U272" s="2" t="str">
        <f ca="1">IFERROR(__xludf.DUMMYFUNCTION("""COMPUTED_VALUE"""),"0356")</f>
        <v>0356</v>
      </c>
      <c r="V272" s="2" t="str">
        <f ca="1">IFERROR(__xludf.DUMMYFUNCTION("""COMPUTED_VALUE"""),"06.001.0010.0302.0094.2043.33.90.40")</f>
        <v>06.001.0010.0302.0094.2043.33.90.40</v>
      </c>
      <c r="W272" s="2" t="str">
        <f ca="1">IFERROR(__xludf.DUMMYFUNCTION("""COMPUTED_VALUE"""),"4942")</f>
        <v>4942</v>
      </c>
      <c r="X272" s="2"/>
      <c r="Y272" s="2"/>
      <c r="Z272" s="2"/>
      <c r="AA272" s="2"/>
      <c r="AB272" s="2"/>
      <c r="AC272" s="2"/>
      <c r="AD272" s="2"/>
      <c r="AE272" s="2"/>
      <c r="AF272" s="2"/>
    </row>
    <row r="273" spans="1:32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>
        <f ca="1">IFERROR(__xludf.DUMMYFUNCTION("""COMPUTED_VALUE"""),2023)</f>
        <v>2023</v>
      </c>
      <c r="Q273" s="2" t="str">
        <f ca="1">IFERROR(__xludf.DUMMYFUNCTION("""COMPUTED_VALUE"""),"0317")</f>
        <v>0317</v>
      </c>
      <c r="R273" s="2" t="str">
        <f ca="1">IFERROR(__xludf.DUMMYFUNCTION("""COMPUTED_VALUE"""),"05.001.0012.0367.0074.6014.33.90.32")</f>
        <v>05.001.0012.0367.0074.6014.33.90.32</v>
      </c>
      <c r="S273" s="2" t="str">
        <f ca="1">IFERROR(__xludf.DUMMYFUNCTION("""COMPUTED_VALUE"""),"01042")</f>
        <v>01042</v>
      </c>
      <c r="T273" s="2">
        <f ca="1">IFERROR(__xludf.DUMMYFUNCTION("""COMPUTED_VALUE"""),2024)</f>
        <v>2024</v>
      </c>
      <c r="U273" s="2" t="str">
        <f ca="1">IFERROR(__xludf.DUMMYFUNCTION("""COMPUTED_VALUE"""),"0357")</f>
        <v>0357</v>
      </c>
      <c r="V273" s="2" t="str">
        <f ca="1">IFERROR(__xludf.DUMMYFUNCTION("""COMPUTED_VALUE"""),"06.001.0010.0302.0094.2044.33.50.85")</f>
        <v>06.001.0010.0302.0094.2044.33.50.85</v>
      </c>
      <c r="W273" s="2" t="str">
        <f ca="1">IFERROR(__xludf.DUMMYFUNCTION("""COMPUTED_VALUE"""),"4942")</f>
        <v>4942</v>
      </c>
      <c r="X273" s="2"/>
      <c r="Y273" s="2"/>
      <c r="Z273" s="2"/>
      <c r="AA273" s="2"/>
      <c r="AB273" s="2"/>
      <c r="AC273" s="2"/>
      <c r="AD273" s="2"/>
      <c r="AE273" s="2"/>
      <c r="AF273" s="2"/>
    </row>
    <row r="274" spans="1:32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>
        <f ca="1">IFERROR(__xludf.DUMMYFUNCTION("""COMPUTED_VALUE"""),2023)</f>
        <v>2023</v>
      </c>
      <c r="Q274" s="2" t="str">
        <f ca="1">IFERROR(__xludf.DUMMYFUNCTION("""COMPUTED_VALUE"""),"0318")</f>
        <v>0318</v>
      </c>
      <c r="R274" s="2" t="str">
        <f ca="1">IFERROR(__xludf.DUMMYFUNCTION("""COMPUTED_VALUE"""),"05.001.0012.0365.0074.6015.33.90.32")</f>
        <v>05.001.0012.0365.0074.6015.33.90.32</v>
      </c>
      <c r="S274" s="2" t="str">
        <f ca="1">IFERROR(__xludf.DUMMYFUNCTION("""COMPUTED_VALUE"""),"00103")</f>
        <v>00103</v>
      </c>
      <c r="T274" s="2">
        <f ca="1">IFERROR(__xludf.DUMMYFUNCTION("""COMPUTED_VALUE"""),2024)</f>
        <v>2024</v>
      </c>
      <c r="U274" s="2" t="str">
        <f ca="1">IFERROR(__xludf.DUMMYFUNCTION("""COMPUTED_VALUE"""),"0358")</f>
        <v>0358</v>
      </c>
      <c r="V274" s="2" t="str">
        <f ca="1">IFERROR(__xludf.DUMMYFUNCTION("""COMPUTED_VALUE"""),"06.001.0010.0302.0094.2044.33.50.85")</f>
        <v>06.001.0010.0302.0094.2044.33.50.85</v>
      </c>
      <c r="W274" s="2" t="str">
        <f ca="1">IFERROR(__xludf.DUMMYFUNCTION("""COMPUTED_VALUE"""),"0")</f>
        <v>0</v>
      </c>
      <c r="X274" s="2"/>
      <c r="Y274" s="2"/>
      <c r="Z274" s="2"/>
      <c r="AA274" s="2"/>
      <c r="AB274" s="2"/>
      <c r="AC274" s="2"/>
      <c r="AD274" s="2"/>
      <c r="AE274" s="2"/>
      <c r="AF274" s="2"/>
    </row>
    <row r="275" spans="1:32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>
        <f ca="1">IFERROR(__xludf.DUMMYFUNCTION("""COMPUTED_VALUE"""),2023)</f>
        <v>2023</v>
      </c>
      <c r="Q275" s="2" t="str">
        <f ca="1">IFERROR(__xludf.DUMMYFUNCTION("""COMPUTED_VALUE"""),"0319")</f>
        <v>0319</v>
      </c>
      <c r="R275" s="2" t="str">
        <f ca="1">IFERROR(__xludf.DUMMYFUNCTION("""COMPUTED_VALUE"""),"05.001.0012.0361.0074.6018.33.90.32")</f>
        <v>05.001.0012.0361.0074.6018.33.90.32</v>
      </c>
      <c r="S275" s="2" t="str">
        <f ca="1">IFERROR(__xludf.DUMMYFUNCTION("""COMPUTED_VALUE"""),"0000")</f>
        <v>0000</v>
      </c>
      <c r="T275" s="2">
        <f ca="1">IFERROR(__xludf.DUMMYFUNCTION("""COMPUTED_VALUE"""),2024)</f>
        <v>2024</v>
      </c>
      <c r="U275" s="2" t="str">
        <f ca="1">IFERROR(__xludf.DUMMYFUNCTION("""COMPUTED_VALUE"""),"0359")</f>
        <v>0359</v>
      </c>
      <c r="V275" s="2" t="str">
        <f ca="1">IFERROR(__xludf.DUMMYFUNCTION("""COMPUTED_VALUE"""),"06.001.0010.0302.0094.2044.33.50.85")</f>
        <v>06.001.0010.0302.0094.2044.33.50.85</v>
      </c>
      <c r="W275" s="2" t="str">
        <f ca="1">IFERROR(__xludf.DUMMYFUNCTION("""COMPUTED_VALUE"""),"303")</f>
        <v>303</v>
      </c>
      <c r="X275" s="2"/>
      <c r="Y275" s="2"/>
      <c r="Z275" s="2"/>
      <c r="AA275" s="2"/>
      <c r="AB275" s="2"/>
      <c r="AC275" s="2"/>
      <c r="AD275" s="2"/>
      <c r="AE275" s="2"/>
      <c r="AF275" s="2"/>
    </row>
    <row r="276" spans="1:32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>
        <f ca="1">IFERROR(__xludf.DUMMYFUNCTION("""COMPUTED_VALUE"""),2023)</f>
        <v>2023</v>
      </c>
      <c r="Q276" s="2" t="str">
        <f ca="1">IFERROR(__xludf.DUMMYFUNCTION("""COMPUTED_VALUE"""),"0320")</f>
        <v>0320</v>
      </c>
      <c r="R276" s="2" t="str">
        <f ca="1">IFERROR(__xludf.DUMMYFUNCTION("""COMPUTED_VALUE"""),"05.001.0012.0361.0074.6018.33.90.32")</f>
        <v>05.001.0012.0361.0074.6018.33.90.32</v>
      </c>
      <c r="S276" s="2" t="str">
        <f ca="1">IFERROR(__xludf.DUMMYFUNCTION("""COMPUTED_VALUE"""),"00102")</f>
        <v>00102</v>
      </c>
      <c r="T276" s="2">
        <f ca="1">IFERROR(__xludf.DUMMYFUNCTION("""COMPUTED_VALUE"""),2024)</f>
        <v>2024</v>
      </c>
      <c r="U276" s="2" t="str">
        <f ca="1">IFERROR(__xludf.DUMMYFUNCTION("""COMPUTED_VALUE"""),"0363")</f>
        <v>0363</v>
      </c>
      <c r="V276" s="2" t="str">
        <f ca="1">IFERROR(__xludf.DUMMYFUNCTION("""COMPUTED_VALUE"""),"06.001.0010.0302.0094.2044.33.50.85")</f>
        <v>06.001.0010.0302.0094.2044.33.50.85</v>
      </c>
      <c r="W276" s="2" t="str">
        <f ca="1">IFERROR(__xludf.DUMMYFUNCTION("""COMPUTED_VALUE"""),"496")</f>
        <v>496</v>
      </c>
      <c r="X276" s="2"/>
      <c r="Y276" s="2"/>
      <c r="Z276" s="2"/>
      <c r="AA276" s="2"/>
      <c r="AB276" s="2"/>
      <c r="AC276" s="2"/>
      <c r="AD276" s="2"/>
      <c r="AE276" s="2"/>
      <c r="AF276" s="2"/>
    </row>
    <row r="277" spans="1:32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>
        <f ca="1">IFERROR(__xludf.DUMMYFUNCTION("""COMPUTED_VALUE"""),2023)</f>
        <v>2023</v>
      </c>
      <c r="Q277" s="2" t="str">
        <f ca="1">IFERROR(__xludf.DUMMYFUNCTION("""COMPUTED_VALUE"""),"0321")</f>
        <v>0321</v>
      </c>
      <c r="R277" s="2" t="str">
        <f ca="1">IFERROR(__xludf.DUMMYFUNCTION("""COMPUTED_VALUE"""),"05.001.0012.0361.0074.6018.33.90.32")</f>
        <v>05.001.0012.0361.0074.6018.33.90.32</v>
      </c>
      <c r="S277" s="2" t="str">
        <f ca="1">IFERROR(__xludf.DUMMYFUNCTION("""COMPUTED_VALUE"""),"00104")</f>
        <v>00104</v>
      </c>
      <c r="T277" s="2">
        <f ca="1">IFERROR(__xludf.DUMMYFUNCTION("""COMPUTED_VALUE"""),2024)</f>
        <v>2024</v>
      </c>
      <c r="U277" s="2" t="str">
        <f ca="1">IFERROR(__xludf.DUMMYFUNCTION("""COMPUTED_VALUE"""),"0366")</f>
        <v>0366</v>
      </c>
      <c r="V277" s="2" t="str">
        <f ca="1">IFERROR(__xludf.DUMMYFUNCTION("""COMPUTED_VALUE"""),"06.001.0010.0302.0094.2044.33.90.30")</f>
        <v>06.001.0010.0302.0094.2044.33.90.30</v>
      </c>
      <c r="W277" s="2" t="str">
        <f ca="1">IFERROR(__xludf.DUMMYFUNCTION("""COMPUTED_VALUE"""),"4942")</f>
        <v>4942</v>
      </c>
      <c r="X277" s="2"/>
      <c r="Y277" s="2"/>
      <c r="Z277" s="2"/>
      <c r="AA277" s="2"/>
      <c r="AB277" s="2"/>
      <c r="AC277" s="2"/>
      <c r="AD277" s="2"/>
      <c r="AE277" s="2"/>
      <c r="AF277" s="2"/>
    </row>
    <row r="278" spans="1:32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>
        <f ca="1">IFERROR(__xludf.DUMMYFUNCTION("""COMPUTED_VALUE"""),2023)</f>
        <v>2023</v>
      </c>
      <c r="Q278" s="2" t="str">
        <f ca="1">IFERROR(__xludf.DUMMYFUNCTION("""COMPUTED_VALUE"""),"0322")</f>
        <v>0322</v>
      </c>
      <c r="R278" s="2" t="str">
        <f ca="1">IFERROR(__xludf.DUMMYFUNCTION("""COMPUTED_VALUE"""),"11.002.0013.0392.0082.2010.33.90.32")</f>
        <v>11.002.0013.0392.0082.2010.33.90.32</v>
      </c>
      <c r="S278" s="2" t="str">
        <f ca="1">IFERROR(__xludf.DUMMYFUNCTION("""COMPUTED_VALUE"""),"0000")</f>
        <v>0000</v>
      </c>
      <c r="T278" s="2">
        <f ca="1">IFERROR(__xludf.DUMMYFUNCTION("""COMPUTED_VALUE"""),2024)</f>
        <v>2024</v>
      </c>
      <c r="U278" s="2" t="str">
        <f ca="1">IFERROR(__xludf.DUMMYFUNCTION("""COMPUTED_VALUE"""),"0360")</f>
        <v>0360</v>
      </c>
      <c r="V278" s="2" t="str">
        <f ca="1">IFERROR(__xludf.DUMMYFUNCTION("""COMPUTED_VALUE"""),"06.001.0010.0302.0094.2044.33.90.39")</f>
        <v>06.001.0010.0302.0094.2044.33.90.39</v>
      </c>
      <c r="W278" s="2" t="str">
        <f ca="1">IFERROR(__xludf.DUMMYFUNCTION("""COMPUTED_VALUE"""),"303")</f>
        <v>303</v>
      </c>
      <c r="X278" s="2"/>
      <c r="Y278" s="2"/>
      <c r="Z278" s="2"/>
      <c r="AA278" s="2"/>
      <c r="AB278" s="2"/>
      <c r="AC278" s="2"/>
      <c r="AD278" s="2"/>
      <c r="AE278" s="2"/>
      <c r="AF278" s="2"/>
    </row>
    <row r="279" spans="1:32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>
        <f ca="1">IFERROR(__xludf.DUMMYFUNCTION("""COMPUTED_VALUE"""),2023)</f>
        <v>2023</v>
      </c>
      <c r="Q279" s="2" t="str">
        <f ca="1">IFERROR(__xludf.DUMMYFUNCTION("""COMPUTED_VALUE"""),"0323")</f>
        <v>0323</v>
      </c>
      <c r="R279" s="2" t="str">
        <f ca="1">IFERROR(__xludf.DUMMYFUNCTION("""COMPUTED_VALUE"""),"11.002.0013.0243.0082.6003.33.90.32")</f>
        <v>11.002.0013.0243.0082.6003.33.90.32</v>
      </c>
      <c r="S279" s="2" t="str">
        <f ca="1">IFERROR(__xludf.DUMMYFUNCTION("""COMPUTED_VALUE"""),"0000")</f>
        <v>0000</v>
      </c>
      <c r="T279" s="2">
        <f ca="1">IFERROR(__xludf.DUMMYFUNCTION("""COMPUTED_VALUE"""),2024)</f>
        <v>2024</v>
      </c>
      <c r="U279" s="2" t="str">
        <f ca="1">IFERROR(__xludf.DUMMYFUNCTION("""COMPUTED_VALUE"""),"0361")</f>
        <v>0361</v>
      </c>
      <c r="V279" s="2" t="str">
        <f ca="1">IFERROR(__xludf.DUMMYFUNCTION("""COMPUTED_VALUE"""),"06.001.0010.0302.0094.2044.33.90.40")</f>
        <v>06.001.0010.0302.0094.2044.33.90.40</v>
      </c>
      <c r="W279" s="2" t="str">
        <f ca="1">IFERROR(__xludf.DUMMYFUNCTION("""COMPUTED_VALUE"""),"303")</f>
        <v>303</v>
      </c>
      <c r="X279" s="2"/>
      <c r="Y279" s="2"/>
      <c r="Z279" s="2"/>
      <c r="AA279" s="2"/>
      <c r="AB279" s="2"/>
      <c r="AC279" s="2"/>
      <c r="AD279" s="2"/>
      <c r="AE279" s="2"/>
      <c r="AF279" s="2"/>
    </row>
    <row r="280" spans="1:32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>
        <f ca="1">IFERROR(__xludf.DUMMYFUNCTION("""COMPUTED_VALUE"""),2023)</f>
        <v>2023</v>
      </c>
      <c r="Q280" s="2" t="str">
        <f ca="1">IFERROR(__xludf.DUMMYFUNCTION("""COMPUTED_VALUE"""),"0324")</f>
        <v>0324</v>
      </c>
      <c r="R280" s="2" t="str">
        <f ca="1">IFERROR(__xludf.DUMMYFUNCTION("""COMPUTED_VALUE"""),"11.003.0027.0811.0083.2013.33.90.32")</f>
        <v>11.003.0027.0811.0083.2013.33.90.32</v>
      </c>
      <c r="S280" s="2" t="str">
        <f ca="1">IFERROR(__xludf.DUMMYFUNCTION("""COMPUTED_VALUE"""),"0000")</f>
        <v>0000</v>
      </c>
      <c r="T280" s="2">
        <f ca="1">IFERROR(__xludf.DUMMYFUNCTION("""COMPUTED_VALUE"""),2024)</f>
        <v>2024</v>
      </c>
      <c r="U280" s="2" t="str">
        <f ca="1">IFERROR(__xludf.DUMMYFUNCTION("""COMPUTED_VALUE"""),"0362")</f>
        <v>0362</v>
      </c>
      <c r="V280" s="2" t="str">
        <f ca="1">IFERROR(__xludf.DUMMYFUNCTION("""COMPUTED_VALUE"""),"06.001.0010.0302.0094.2045.33.71.70")</f>
        <v>06.001.0010.0302.0094.2045.33.71.70</v>
      </c>
      <c r="W280" s="2" t="str">
        <f ca="1">IFERROR(__xludf.DUMMYFUNCTION("""COMPUTED_VALUE"""),"303")</f>
        <v>303</v>
      </c>
      <c r="X280" s="2"/>
      <c r="Y280" s="2"/>
      <c r="Z280" s="2"/>
      <c r="AA280" s="2"/>
      <c r="AB280" s="2"/>
      <c r="AC280" s="2"/>
      <c r="AD280" s="2"/>
      <c r="AE280" s="2"/>
      <c r="AF280" s="2"/>
    </row>
    <row r="281" spans="1:32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>
        <f ca="1">IFERROR(__xludf.DUMMYFUNCTION("""COMPUTED_VALUE"""),2023)</f>
        <v>2023</v>
      </c>
      <c r="Q281" s="2" t="str">
        <f ca="1">IFERROR(__xludf.DUMMYFUNCTION("""COMPUTED_VALUE"""),"0325")</f>
        <v>0325</v>
      </c>
      <c r="R281" s="2" t="str">
        <f ca="1">IFERROR(__xludf.DUMMYFUNCTION("""COMPUTED_VALUE"""),"11.003.0027.0812.0083.2015.33.90.32")</f>
        <v>11.003.0027.0812.0083.2015.33.90.32</v>
      </c>
      <c r="S281" s="2" t="str">
        <f ca="1">IFERROR(__xludf.DUMMYFUNCTION("""COMPUTED_VALUE"""),"0000")</f>
        <v>0000</v>
      </c>
      <c r="T281" s="2">
        <f ca="1">IFERROR(__xludf.DUMMYFUNCTION("""COMPUTED_VALUE"""),2024)</f>
        <v>2024</v>
      </c>
      <c r="U281" s="2" t="str">
        <f ca="1">IFERROR(__xludf.DUMMYFUNCTION("""COMPUTED_VALUE"""),"0367")</f>
        <v>0367</v>
      </c>
      <c r="V281" s="2" t="str">
        <f ca="1">IFERROR(__xludf.DUMMYFUNCTION("""COMPUTED_VALUE"""),"06.001.0010.0302.0094.2045.33.72.39")</f>
        <v>06.001.0010.0302.0094.2045.33.72.39</v>
      </c>
      <c r="W281" s="2" t="str">
        <f ca="1">IFERROR(__xludf.DUMMYFUNCTION("""COMPUTED_VALUE"""),"303")</f>
        <v>303</v>
      </c>
      <c r="X281" s="2"/>
      <c r="Y281" s="2"/>
      <c r="Z281" s="2"/>
      <c r="AA281" s="2"/>
      <c r="AB281" s="2"/>
      <c r="AC281" s="2"/>
      <c r="AD281" s="2"/>
      <c r="AE281" s="2"/>
      <c r="AF281" s="2"/>
    </row>
    <row r="282" spans="1:3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>
        <f ca="1">IFERROR(__xludf.DUMMYFUNCTION("""COMPUTED_VALUE"""),2023)</f>
        <v>2023</v>
      </c>
      <c r="Q282" s="2" t="str">
        <f ca="1">IFERROR(__xludf.DUMMYFUNCTION("""COMPUTED_VALUE"""),"0326")</f>
        <v>0326</v>
      </c>
      <c r="R282" s="2" t="str">
        <f ca="1">IFERROR(__xludf.DUMMYFUNCTION("""COMPUTED_VALUE"""),"11.003.0027.0243.0083.6004.33.90.32")</f>
        <v>11.003.0027.0243.0083.6004.33.90.32</v>
      </c>
      <c r="S282" s="2" t="str">
        <f ca="1">IFERROR(__xludf.DUMMYFUNCTION("""COMPUTED_VALUE"""),"0000")</f>
        <v>0000</v>
      </c>
      <c r="T282" s="2">
        <f ca="1">IFERROR(__xludf.DUMMYFUNCTION("""COMPUTED_VALUE"""),2024)</f>
        <v>2024</v>
      </c>
      <c r="U282" s="2" t="str">
        <f ca="1">IFERROR(__xludf.DUMMYFUNCTION("""COMPUTED_VALUE"""),"0368")</f>
        <v>0368</v>
      </c>
      <c r="V282" s="2" t="str">
        <f ca="1">IFERROR(__xludf.DUMMYFUNCTION("""COMPUTED_VALUE"""),"06.001.0010.0302.0094.2045.33.90.39")</f>
        <v>06.001.0010.0302.0094.2045.33.90.39</v>
      </c>
      <c r="W282" s="2" t="str">
        <f ca="1">IFERROR(__xludf.DUMMYFUNCTION("""COMPUTED_VALUE"""),"303")</f>
        <v>303</v>
      </c>
      <c r="X282" s="2"/>
      <c r="Y282" s="2"/>
      <c r="Z282" s="2"/>
      <c r="AA282" s="2"/>
      <c r="AB282" s="2"/>
      <c r="AC282" s="2"/>
      <c r="AD282" s="2"/>
      <c r="AE282" s="2"/>
      <c r="AF282" s="2"/>
    </row>
    <row r="283" spans="1:32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>
        <f ca="1">IFERROR(__xludf.DUMMYFUNCTION("""COMPUTED_VALUE"""),2023)</f>
        <v>2023</v>
      </c>
      <c r="Q283" s="2" t="str">
        <f ca="1">IFERROR(__xludf.DUMMYFUNCTION("""COMPUTED_VALUE"""),"0327")</f>
        <v>0327</v>
      </c>
      <c r="R283" s="2" t="str">
        <f ca="1">IFERROR(__xludf.DUMMYFUNCTION("""COMPUTED_VALUE"""),"06.001.0010.0301.0094.2037.33.90.32")</f>
        <v>06.001.0010.0301.0094.2037.33.90.32</v>
      </c>
      <c r="S283" s="2" t="str">
        <f ca="1">IFERROR(__xludf.DUMMYFUNCTION("""COMPUTED_VALUE"""),"00303")</f>
        <v>00303</v>
      </c>
      <c r="T283" s="2">
        <f ca="1">IFERROR(__xludf.DUMMYFUNCTION("""COMPUTED_VALUE"""),2024)</f>
        <v>2024</v>
      </c>
      <c r="U283" s="2" t="str">
        <f ca="1">IFERROR(__xludf.DUMMYFUNCTION("""COMPUTED_VALUE"""),"0369")</f>
        <v>0369</v>
      </c>
      <c r="V283" s="2" t="str">
        <f ca="1">IFERROR(__xludf.DUMMYFUNCTION("""COMPUTED_VALUE"""),"06.001.0010.0302.0094.2045.33.90.39")</f>
        <v>06.001.0010.0302.0094.2045.33.90.39</v>
      </c>
      <c r="W283" s="2" t="str">
        <f ca="1">IFERROR(__xludf.DUMMYFUNCTION("""COMPUTED_VALUE"""),"303")</f>
        <v>303</v>
      </c>
      <c r="X283" s="2"/>
      <c r="Y283" s="2"/>
      <c r="Z283" s="2"/>
      <c r="AA283" s="2"/>
      <c r="AB283" s="2"/>
      <c r="AC283" s="2"/>
      <c r="AD283" s="2"/>
      <c r="AE283" s="2"/>
      <c r="AF283" s="2"/>
    </row>
    <row r="284" spans="1:32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>
        <f ca="1">IFERROR(__xludf.DUMMYFUNCTION("""COMPUTED_VALUE"""),2023)</f>
        <v>2023</v>
      </c>
      <c r="Q284" s="2" t="str">
        <f ca="1">IFERROR(__xludf.DUMMYFUNCTION("""COMPUTED_VALUE"""),"0328")</f>
        <v>0328</v>
      </c>
      <c r="R284" s="2" t="str">
        <f ca="1">IFERROR(__xludf.DUMMYFUNCTION("""COMPUTED_VALUE"""),"06.001.0010.0301.0094.2039.33.90.32")</f>
        <v>06.001.0010.0301.0094.2039.33.90.32</v>
      </c>
      <c r="S284" s="2" t="str">
        <f ca="1">IFERROR(__xludf.DUMMYFUNCTION("""COMPUTED_VALUE"""),"00303")</f>
        <v>00303</v>
      </c>
      <c r="T284" s="2">
        <f ca="1">IFERROR(__xludf.DUMMYFUNCTION("""COMPUTED_VALUE"""),2024)</f>
        <v>2024</v>
      </c>
      <c r="U284" s="2" t="str">
        <f ca="1">IFERROR(__xludf.DUMMYFUNCTION("""COMPUTED_VALUE"""),"0370")</f>
        <v>0370</v>
      </c>
      <c r="V284" s="2" t="str">
        <f ca="1">IFERROR(__xludf.DUMMYFUNCTION("""COMPUTED_VALUE"""),"06.001.0010.0304.0094.1024.44.90.52")</f>
        <v>06.001.0010.0304.0094.1024.44.90.52</v>
      </c>
      <c r="W284" s="2" t="str">
        <f ca="1">IFERROR(__xludf.DUMMYFUNCTION("""COMPUTED_VALUE"""),"496")</f>
        <v>496</v>
      </c>
      <c r="X284" s="2"/>
      <c r="Y284" s="2"/>
      <c r="Z284" s="2"/>
      <c r="AA284" s="2"/>
      <c r="AB284" s="2"/>
      <c r="AC284" s="2"/>
      <c r="AD284" s="2"/>
      <c r="AE284" s="2"/>
      <c r="AF284" s="2"/>
    </row>
    <row r="285" spans="1:32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>
        <f ca="1">IFERROR(__xludf.DUMMYFUNCTION("""COMPUTED_VALUE"""),2023)</f>
        <v>2023</v>
      </c>
      <c r="Q285" s="2" t="str">
        <f ca="1">IFERROR(__xludf.DUMMYFUNCTION("""COMPUTED_VALUE"""),"0330")</f>
        <v>0330</v>
      </c>
      <c r="R285" s="2" t="str">
        <f ca="1">IFERROR(__xludf.DUMMYFUNCTION("""COMPUTED_VALUE"""),"06.001.0010.0301.0094.2039.33.90.32")</f>
        <v>06.001.0010.0301.0094.2039.33.90.32</v>
      </c>
      <c r="S285" s="2" t="str">
        <f ca="1">IFERROR(__xludf.DUMMYFUNCTION("""COMPUTED_VALUE"""),"04942")</f>
        <v>04942</v>
      </c>
      <c r="T285" s="2">
        <f ca="1">IFERROR(__xludf.DUMMYFUNCTION("""COMPUTED_VALUE"""),2024)</f>
        <v>2024</v>
      </c>
      <c r="U285" s="2" t="str">
        <f ca="1">IFERROR(__xludf.DUMMYFUNCTION("""COMPUTED_VALUE"""),"0373")</f>
        <v>0373</v>
      </c>
      <c r="V285" s="2" t="str">
        <f ca="1">IFERROR(__xludf.DUMMYFUNCTION("""COMPUTED_VALUE"""),"06.001.0010.0304.0094.2046.31.90.07")</f>
        <v>06.001.0010.0304.0094.2046.31.90.07</v>
      </c>
      <c r="W285" s="2" t="str">
        <f ca="1">IFERROR(__xludf.DUMMYFUNCTION("""COMPUTED_VALUE"""),"5101")</f>
        <v>5101</v>
      </c>
      <c r="X285" s="2"/>
      <c r="Y285" s="2"/>
      <c r="Z285" s="2"/>
      <c r="AA285" s="2"/>
      <c r="AB285" s="2"/>
      <c r="AC285" s="2"/>
      <c r="AD285" s="2"/>
      <c r="AE285" s="2"/>
      <c r="AF285" s="2"/>
    </row>
    <row r="286" spans="1:32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>
        <f ca="1">IFERROR(__xludf.DUMMYFUNCTION("""COMPUTED_VALUE"""),2023)</f>
        <v>2023</v>
      </c>
      <c r="Q286" s="2" t="str">
        <f ca="1">IFERROR(__xludf.DUMMYFUNCTION("""COMPUTED_VALUE"""),"0331")</f>
        <v>0331</v>
      </c>
      <c r="R286" s="2" t="str">
        <f ca="1">IFERROR(__xludf.DUMMYFUNCTION("""COMPUTED_VALUE"""),"06.001.0010.0305.0094.2040.33.90.32")</f>
        <v>06.001.0010.0305.0094.2040.33.90.32</v>
      </c>
      <c r="S286" s="2" t="str">
        <f ca="1">IFERROR(__xludf.DUMMYFUNCTION("""COMPUTED_VALUE"""),"04942")</f>
        <v>04942</v>
      </c>
      <c r="T286" s="2">
        <f ca="1">IFERROR(__xludf.DUMMYFUNCTION("""COMPUTED_VALUE"""),2024)</f>
        <v>2024</v>
      </c>
      <c r="U286" s="2" t="str">
        <f ca="1">IFERROR(__xludf.DUMMYFUNCTION("""COMPUTED_VALUE"""),"1195")</f>
        <v>1195</v>
      </c>
      <c r="V286" s="2" t="str">
        <f ca="1">IFERROR(__xludf.DUMMYFUNCTION("""COMPUTED_VALUE"""),"06.001.0010.0304.0094.2046.31.90.11")</f>
        <v>06.001.0010.0304.0094.2046.31.90.11</v>
      </c>
      <c r="W286" s="2" t="str">
        <f ca="1">IFERROR(__xludf.DUMMYFUNCTION("""COMPUTED_VALUE"""),"303")</f>
        <v>303</v>
      </c>
      <c r="X286" s="2"/>
      <c r="Y286" s="2"/>
      <c r="Z286" s="2"/>
      <c r="AA286" s="2"/>
      <c r="AB286" s="2"/>
      <c r="AC286" s="2"/>
      <c r="AD286" s="2"/>
      <c r="AE286" s="2"/>
      <c r="AF286" s="2"/>
    </row>
    <row r="287" spans="1:32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>
        <f ca="1">IFERROR(__xludf.DUMMYFUNCTION("""COMPUTED_VALUE"""),2023)</f>
        <v>2023</v>
      </c>
      <c r="Q287" s="2" t="str">
        <f ca="1">IFERROR(__xludf.DUMMYFUNCTION("""COMPUTED_VALUE"""),"0332")</f>
        <v>0332</v>
      </c>
      <c r="R287" s="2" t="str">
        <f ca="1">IFERROR(__xludf.DUMMYFUNCTION("""COMPUTED_VALUE"""),"06.001.0010.0302.0094.2041.33.90.32")</f>
        <v>06.001.0010.0302.0094.2041.33.90.32</v>
      </c>
      <c r="S287" s="2" t="str">
        <f ca="1">IFERROR(__xludf.DUMMYFUNCTION("""COMPUTED_VALUE"""),"00303")</f>
        <v>00303</v>
      </c>
      <c r="T287" s="2">
        <f ca="1">IFERROR(__xludf.DUMMYFUNCTION("""COMPUTED_VALUE"""),2024)</f>
        <v>2024</v>
      </c>
      <c r="U287" s="2" t="str">
        <f ca="1">IFERROR(__xludf.DUMMYFUNCTION("""COMPUTED_VALUE"""),"0374")</f>
        <v>0374</v>
      </c>
      <c r="V287" s="2" t="str">
        <f ca="1">IFERROR(__xludf.DUMMYFUNCTION("""COMPUTED_VALUE"""),"06.001.0010.0304.0094.2046.31.90.11")</f>
        <v>06.001.0010.0304.0094.2046.31.90.11</v>
      </c>
      <c r="W287" s="2" t="str">
        <f ca="1">IFERROR(__xludf.DUMMYFUNCTION("""COMPUTED_VALUE"""),"303")</f>
        <v>303</v>
      </c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>
        <f ca="1">IFERROR(__xludf.DUMMYFUNCTION("""COMPUTED_VALUE"""),2023)</f>
        <v>2023</v>
      </c>
      <c r="Q288" s="2" t="str">
        <f ca="1">IFERROR(__xludf.DUMMYFUNCTION("""COMPUTED_VALUE"""),"0333")</f>
        <v>0333</v>
      </c>
      <c r="R288" s="2" t="str">
        <f ca="1">IFERROR(__xludf.DUMMYFUNCTION("""COMPUTED_VALUE"""),"06.001.0010.0302.0094.2043.33.90.32")</f>
        <v>06.001.0010.0302.0094.2043.33.90.32</v>
      </c>
      <c r="S288" s="2" t="str">
        <f ca="1">IFERROR(__xludf.DUMMYFUNCTION("""COMPUTED_VALUE"""),"04942")</f>
        <v>04942</v>
      </c>
      <c r="T288" s="2">
        <f ca="1">IFERROR(__xludf.DUMMYFUNCTION("""COMPUTED_VALUE"""),2024)</f>
        <v>2024</v>
      </c>
      <c r="U288" s="2" t="str">
        <f ca="1">IFERROR(__xludf.DUMMYFUNCTION("""COMPUTED_VALUE"""),"0382")</f>
        <v>0382</v>
      </c>
      <c r="V288" s="2" t="str">
        <f ca="1">IFERROR(__xludf.DUMMYFUNCTION("""COMPUTED_VALUE"""),"06.001.0010.0304.0094.2046.31.90.11")</f>
        <v>06.001.0010.0304.0094.2046.31.90.11</v>
      </c>
      <c r="W288" s="2" t="str">
        <f ca="1">IFERROR(__xludf.DUMMYFUNCTION("""COMPUTED_VALUE"""),"4942")</f>
        <v>4942</v>
      </c>
      <c r="X288" s="2"/>
      <c r="Y288" s="2"/>
      <c r="Z288" s="2"/>
      <c r="AA288" s="2"/>
      <c r="AB288" s="2"/>
      <c r="AC288" s="2"/>
      <c r="AD288" s="2"/>
      <c r="AE288" s="2"/>
      <c r="AF288" s="2"/>
    </row>
    <row r="289" spans="1:32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>
        <f ca="1">IFERROR(__xludf.DUMMYFUNCTION("""COMPUTED_VALUE"""),2023)</f>
        <v>2023</v>
      </c>
      <c r="Q289" s="2" t="str">
        <f ca="1">IFERROR(__xludf.DUMMYFUNCTION("""COMPUTED_VALUE"""),"0334")</f>
        <v>0334</v>
      </c>
      <c r="R289" s="2" t="str">
        <f ca="1">IFERROR(__xludf.DUMMYFUNCTION("""COMPUTED_VALUE"""),"06.001.0010.0304.0094.2046.33.90.32")</f>
        <v>06.001.0010.0304.0094.2046.33.90.32</v>
      </c>
      <c r="S289" s="2" t="str">
        <f ca="1">IFERROR(__xludf.DUMMYFUNCTION("""COMPUTED_VALUE"""),"04942")</f>
        <v>04942</v>
      </c>
      <c r="T289" s="2">
        <f ca="1">IFERROR(__xludf.DUMMYFUNCTION("""COMPUTED_VALUE"""),2024)</f>
        <v>2024</v>
      </c>
      <c r="U289" s="2" t="str">
        <f ca="1">IFERROR(__xludf.DUMMYFUNCTION("""COMPUTED_VALUE"""),"0391")</f>
        <v>0391</v>
      </c>
      <c r="V289" s="2" t="str">
        <f ca="1">IFERROR(__xludf.DUMMYFUNCTION("""COMPUTED_VALUE"""),"06.001.0010.0304.0094.2046.31.90.13")</f>
        <v>06.001.0010.0304.0094.2046.31.90.13</v>
      </c>
      <c r="W289" s="2" t="str">
        <f ca="1">IFERROR(__xludf.DUMMYFUNCTION("""COMPUTED_VALUE"""),"5101")</f>
        <v>5101</v>
      </c>
      <c r="X289" s="2"/>
      <c r="Y289" s="2"/>
      <c r="Z289" s="2"/>
      <c r="AA289" s="2"/>
      <c r="AB289" s="2"/>
      <c r="AC289" s="2"/>
      <c r="AD289" s="2"/>
      <c r="AE289" s="2"/>
      <c r="AF289" s="2"/>
    </row>
    <row r="290" spans="1:32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>
        <f ca="1">IFERROR(__xludf.DUMMYFUNCTION("""COMPUTED_VALUE"""),2023)</f>
        <v>2023</v>
      </c>
      <c r="Q290" s="2" t="str">
        <f ca="1">IFERROR(__xludf.DUMMYFUNCTION("""COMPUTED_VALUE"""),"0335")</f>
        <v>0335</v>
      </c>
      <c r="R290" s="2" t="str">
        <f ca="1">IFERROR(__xludf.DUMMYFUNCTION("""COMPUTED_VALUE"""),"06.001.0010.0122.0094.2047.33.90.32")</f>
        <v>06.001.0010.0122.0094.2047.33.90.32</v>
      </c>
      <c r="S290" s="2" t="str">
        <f ca="1">IFERROR(__xludf.DUMMYFUNCTION("""COMPUTED_VALUE"""),"00303")</f>
        <v>00303</v>
      </c>
      <c r="T290" s="2">
        <f ca="1">IFERROR(__xludf.DUMMYFUNCTION("""COMPUTED_VALUE"""),2024)</f>
        <v>2024</v>
      </c>
      <c r="U290" s="2" t="str">
        <f ca="1">IFERROR(__xludf.DUMMYFUNCTION("""COMPUTED_VALUE"""),"0375")</f>
        <v>0375</v>
      </c>
      <c r="V290" s="2" t="str">
        <f ca="1">IFERROR(__xludf.DUMMYFUNCTION("""COMPUTED_VALUE"""),"06.001.0010.0304.0094.2046.31.91.13")</f>
        <v>06.001.0010.0304.0094.2046.31.91.13</v>
      </c>
      <c r="W290" s="2" t="str">
        <f ca="1">IFERROR(__xludf.DUMMYFUNCTION("""COMPUTED_VALUE"""),"303")</f>
        <v>303</v>
      </c>
      <c r="X290" s="2"/>
      <c r="Y290" s="2"/>
      <c r="Z290" s="2"/>
      <c r="AA290" s="2"/>
      <c r="AB290" s="2"/>
      <c r="AC290" s="2"/>
      <c r="AD290" s="2"/>
      <c r="AE290" s="2"/>
      <c r="AF290" s="2"/>
    </row>
    <row r="291" spans="1:32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>
        <f ca="1">IFERROR(__xludf.DUMMYFUNCTION("""COMPUTED_VALUE"""),2023)</f>
        <v>2023</v>
      </c>
      <c r="Q291" s="2" t="str">
        <f ca="1">IFERROR(__xludf.DUMMYFUNCTION("""COMPUTED_VALUE"""),"0336")</f>
        <v>0336</v>
      </c>
      <c r="R291" s="2" t="str">
        <f ca="1">IFERROR(__xludf.DUMMYFUNCTION("""COMPUTED_VALUE"""),"12.003.0023.0695.0113.2119.33.90.32")</f>
        <v>12.003.0023.0695.0113.2119.33.90.32</v>
      </c>
      <c r="S291" s="2" t="str">
        <f ca="1">IFERROR(__xludf.DUMMYFUNCTION("""COMPUTED_VALUE"""),"0000")</f>
        <v>0000</v>
      </c>
      <c r="T291" s="2">
        <f ca="1">IFERROR(__xludf.DUMMYFUNCTION("""COMPUTED_VALUE"""),2024)</f>
        <v>2024</v>
      </c>
      <c r="U291" s="2" t="str">
        <f ca="1">IFERROR(__xludf.DUMMYFUNCTION("""COMPUTED_VALUE"""),"0376")</f>
        <v>0376</v>
      </c>
      <c r="V291" s="2" t="str">
        <f ca="1">IFERROR(__xludf.DUMMYFUNCTION("""COMPUTED_VALUE"""),"06.001.0010.0304.0094.2046.31.91.13")</f>
        <v>06.001.0010.0304.0094.2046.31.91.13</v>
      </c>
      <c r="W291" s="2" t="str">
        <f ca="1">IFERROR(__xludf.DUMMYFUNCTION("""COMPUTED_VALUE"""),"303")</f>
        <v>303</v>
      </c>
      <c r="X291" s="2"/>
      <c r="Y291" s="2"/>
      <c r="Z291" s="2"/>
      <c r="AA291" s="2"/>
      <c r="AB291" s="2"/>
      <c r="AC291" s="2"/>
      <c r="AD291" s="2"/>
      <c r="AE291" s="2"/>
      <c r="AF291" s="2"/>
    </row>
    <row r="292" spans="1:3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>
        <f ca="1">IFERROR(__xludf.DUMMYFUNCTION("""COMPUTED_VALUE"""),2023)</f>
        <v>2023</v>
      </c>
      <c r="Q292" s="2" t="str">
        <f ca="1">IFERROR(__xludf.DUMMYFUNCTION("""COMPUTED_VALUE"""),"0337")</f>
        <v>0337</v>
      </c>
      <c r="R292" s="2" t="str">
        <f ca="1">IFERROR(__xludf.DUMMYFUNCTION("""COMPUTED_VALUE"""),"12.002.0012.0366.0113.2121.33.90.32")</f>
        <v>12.002.0012.0366.0113.2121.33.90.32</v>
      </c>
      <c r="S292" s="2" t="str">
        <f ca="1">IFERROR(__xludf.DUMMYFUNCTION("""COMPUTED_VALUE"""),"0000")</f>
        <v>0000</v>
      </c>
      <c r="T292" s="2">
        <f ca="1">IFERROR(__xludf.DUMMYFUNCTION("""COMPUTED_VALUE"""),2024)</f>
        <v>2024</v>
      </c>
      <c r="U292" s="2" t="str">
        <f ca="1">IFERROR(__xludf.DUMMYFUNCTION("""COMPUTED_VALUE"""),"0383")</f>
        <v>0383</v>
      </c>
      <c r="V292" s="2" t="str">
        <f ca="1">IFERROR(__xludf.DUMMYFUNCTION("""COMPUTED_VALUE"""),"06.001.0010.0304.0094.2046.31.91.13")</f>
        <v>06.001.0010.0304.0094.2046.31.91.13</v>
      </c>
      <c r="W292" s="2" t="str">
        <f ca="1">IFERROR(__xludf.DUMMYFUNCTION("""COMPUTED_VALUE"""),"4942")</f>
        <v>4942</v>
      </c>
      <c r="X292" s="2"/>
      <c r="Y292" s="2"/>
      <c r="Z292" s="2"/>
      <c r="AA292" s="2"/>
      <c r="AB292" s="2"/>
      <c r="AC292" s="2"/>
      <c r="AD292" s="2"/>
      <c r="AE292" s="2"/>
      <c r="AF292" s="2"/>
    </row>
    <row r="293" spans="1:32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>
        <f ca="1">IFERROR(__xludf.DUMMYFUNCTION("""COMPUTED_VALUE"""),2023)</f>
        <v>2023</v>
      </c>
      <c r="Q293" s="2" t="str">
        <f ca="1">IFERROR(__xludf.DUMMYFUNCTION("""COMPUTED_VALUE"""),"0338")</f>
        <v>0338</v>
      </c>
      <c r="R293" s="2" t="str">
        <f ca="1">IFERROR(__xludf.DUMMYFUNCTION("""COMPUTED_VALUE"""),"12.005.0020.0605.0113.2123.33.90.32")</f>
        <v>12.005.0020.0605.0113.2123.33.90.32</v>
      </c>
      <c r="S293" s="2" t="str">
        <f ca="1">IFERROR(__xludf.DUMMYFUNCTION("""COMPUTED_VALUE"""),"0000")</f>
        <v>0000</v>
      </c>
      <c r="T293" s="2">
        <f ca="1">IFERROR(__xludf.DUMMYFUNCTION("""COMPUTED_VALUE"""),2024)</f>
        <v>2024</v>
      </c>
      <c r="U293" s="2" t="str">
        <f ca="1">IFERROR(__xludf.DUMMYFUNCTION("""COMPUTED_VALUE"""),"0392")</f>
        <v>0392</v>
      </c>
      <c r="V293" s="2" t="str">
        <f ca="1">IFERROR(__xludf.DUMMYFUNCTION("""COMPUTED_VALUE"""),"06.001.0010.0304.0094.2046.33.90.14")</f>
        <v>06.001.0010.0304.0094.2046.33.90.14</v>
      </c>
      <c r="W293" s="2" t="str">
        <f ca="1">IFERROR(__xludf.DUMMYFUNCTION("""COMPUTED_VALUE"""),"5101")</f>
        <v>5101</v>
      </c>
      <c r="X293" s="2"/>
      <c r="Y293" s="2"/>
      <c r="Z293" s="2"/>
      <c r="AA293" s="2"/>
      <c r="AB293" s="2"/>
      <c r="AC293" s="2"/>
      <c r="AD293" s="2"/>
      <c r="AE293" s="2"/>
      <c r="AF293" s="2"/>
    </row>
    <row r="294" spans="1:32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>
        <f ca="1">IFERROR(__xludf.DUMMYFUNCTION("""COMPUTED_VALUE"""),2023)</f>
        <v>2023</v>
      </c>
      <c r="Q294" s="2" t="str">
        <f ca="1">IFERROR(__xludf.DUMMYFUNCTION("""COMPUTED_VALUE"""),"0339")</f>
        <v>0339</v>
      </c>
      <c r="R294" s="2" t="str">
        <f ca="1">IFERROR(__xludf.DUMMYFUNCTION("""COMPUTED_VALUE"""),"12.004.0022.0661.0113.2127.33.90.32")</f>
        <v>12.004.0022.0661.0113.2127.33.90.32</v>
      </c>
      <c r="S294" s="2" t="str">
        <f ca="1">IFERROR(__xludf.DUMMYFUNCTION("""COMPUTED_VALUE"""),"0000")</f>
        <v>0000</v>
      </c>
      <c r="T294" s="2">
        <f ca="1">IFERROR(__xludf.DUMMYFUNCTION("""COMPUTED_VALUE"""),2024)</f>
        <v>2024</v>
      </c>
      <c r="U294" s="2" t="str">
        <f ca="1">IFERROR(__xludf.DUMMYFUNCTION("""COMPUTED_VALUE"""),"0384")</f>
        <v>0384</v>
      </c>
      <c r="V294" s="2" t="str">
        <f ca="1">IFERROR(__xludf.DUMMYFUNCTION("""COMPUTED_VALUE"""),"06.001.0010.0304.0094.2046.33.90.30")</f>
        <v>06.001.0010.0304.0094.2046.33.90.30</v>
      </c>
      <c r="W294" s="2" t="str">
        <f ca="1">IFERROR(__xludf.DUMMYFUNCTION("""COMPUTED_VALUE"""),"4942")</f>
        <v>4942</v>
      </c>
      <c r="X294" s="2"/>
      <c r="Y294" s="2"/>
      <c r="Z294" s="2"/>
      <c r="AA294" s="2"/>
      <c r="AB294" s="2"/>
      <c r="AC294" s="2"/>
      <c r="AD294" s="2"/>
      <c r="AE294" s="2"/>
      <c r="AF294" s="2"/>
    </row>
    <row r="295" spans="1:32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>
        <f ca="1">IFERROR(__xludf.DUMMYFUNCTION("""COMPUTED_VALUE"""),2023)</f>
        <v>2023</v>
      </c>
      <c r="Q295" s="2" t="str">
        <f ca="1">IFERROR(__xludf.DUMMYFUNCTION("""COMPUTED_VALUE"""),"0340")</f>
        <v>0340</v>
      </c>
      <c r="R295" s="2" t="str">
        <f ca="1">IFERROR(__xludf.DUMMYFUNCTION("""COMPUTED_VALUE"""),"08.003.0008.0244.0118.2030.33.90.32")</f>
        <v>08.003.0008.0244.0118.2030.33.90.32</v>
      </c>
      <c r="S295" s="2" t="str">
        <f ca="1">IFERROR(__xludf.DUMMYFUNCTION("""COMPUTED_VALUE"""),"00934")</f>
        <v>00934</v>
      </c>
      <c r="T295" s="2">
        <f ca="1">IFERROR(__xludf.DUMMYFUNCTION("""COMPUTED_VALUE"""),2024)</f>
        <v>2024</v>
      </c>
      <c r="U295" s="2" t="str">
        <f ca="1">IFERROR(__xludf.DUMMYFUNCTION("""COMPUTED_VALUE"""),"0385")</f>
        <v>0385</v>
      </c>
      <c r="V295" s="2" t="str">
        <f ca="1">IFERROR(__xludf.DUMMYFUNCTION("""COMPUTED_VALUE"""),"06.001.0010.0304.0094.2046.33.90.32")</f>
        <v>06.001.0010.0304.0094.2046.33.90.32</v>
      </c>
      <c r="W295" s="2" t="str">
        <f ca="1">IFERROR(__xludf.DUMMYFUNCTION("""COMPUTED_VALUE"""),"4942")</f>
        <v>4942</v>
      </c>
      <c r="X295" s="2"/>
      <c r="Y295" s="2"/>
      <c r="Z295" s="2"/>
      <c r="AA295" s="2"/>
      <c r="AB295" s="2"/>
      <c r="AC295" s="2"/>
      <c r="AD295" s="2"/>
      <c r="AE295" s="2"/>
      <c r="AF295" s="2"/>
    </row>
    <row r="296" spans="1:32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>
        <f ca="1">IFERROR(__xludf.DUMMYFUNCTION("""COMPUTED_VALUE"""),2023)</f>
        <v>2023</v>
      </c>
      <c r="Q296" s="2" t="str">
        <f ca="1">IFERROR(__xludf.DUMMYFUNCTION("""COMPUTED_VALUE"""),"0341")</f>
        <v>0341</v>
      </c>
      <c r="R296" s="2" t="str">
        <f ca="1">IFERROR(__xludf.DUMMYFUNCTION("""COMPUTED_VALUE"""),"08.003.0008.0244.0118.2030.33.90.32")</f>
        <v>08.003.0008.0244.0118.2030.33.90.32</v>
      </c>
      <c r="S296" s="2" t="str">
        <f ca="1">IFERROR(__xludf.DUMMYFUNCTION("""COMPUTED_VALUE"""),"00941")</f>
        <v>00941</v>
      </c>
      <c r="T296" s="2">
        <f ca="1">IFERROR(__xludf.DUMMYFUNCTION("""COMPUTED_VALUE"""),2024)</f>
        <v>2024</v>
      </c>
      <c r="U296" s="2" t="str">
        <f ca="1">IFERROR(__xludf.DUMMYFUNCTION("""COMPUTED_VALUE"""),"0386")</f>
        <v>0386</v>
      </c>
      <c r="V296" s="2" t="str">
        <f ca="1">IFERROR(__xludf.DUMMYFUNCTION("""COMPUTED_VALUE"""),"06.001.0010.0304.0094.2046.33.90.33")</f>
        <v>06.001.0010.0304.0094.2046.33.90.33</v>
      </c>
      <c r="W296" s="2" t="str">
        <f ca="1">IFERROR(__xludf.DUMMYFUNCTION("""COMPUTED_VALUE"""),"4942")</f>
        <v>4942</v>
      </c>
      <c r="X296" s="2"/>
      <c r="Y296" s="2"/>
      <c r="Z296" s="2"/>
      <c r="AA296" s="2"/>
      <c r="AB296" s="2"/>
      <c r="AC296" s="2"/>
      <c r="AD296" s="2"/>
      <c r="AE296" s="2"/>
      <c r="AF296" s="2"/>
    </row>
    <row r="297" spans="1:32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>
        <f ca="1">IFERROR(__xludf.DUMMYFUNCTION("""COMPUTED_VALUE"""),2023)</f>
        <v>2023</v>
      </c>
      <c r="Q297" s="2" t="str">
        <f ca="1">IFERROR(__xludf.DUMMYFUNCTION("""COMPUTED_VALUE"""),"0342")</f>
        <v>0342</v>
      </c>
      <c r="R297" s="2" t="str">
        <f ca="1">IFERROR(__xludf.DUMMYFUNCTION("""COMPUTED_VALUE"""),"08.003.0008.0244.0118.2030.33.90.32")</f>
        <v>08.003.0008.0244.0118.2030.33.90.32</v>
      </c>
      <c r="S297" s="2" t="str">
        <f ca="1">IFERROR(__xludf.DUMMYFUNCTION("""COMPUTED_VALUE"""),"09381")</f>
        <v>09381</v>
      </c>
      <c r="T297" s="2">
        <f ca="1">IFERROR(__xludf.DUMMYFUNCTION("""COMPUTED_VALUE"""),2024)</f>
        <v>2024</v>
      </c>
      <c r="U297" s="2" t="str">
        <f ca="1">IFERROR(__xludf.DUMMYFUNCTION("""COMPUTED_VALUE"""),"0387")</f>
        <v>0387</v>
      </c>
      <c r="V297" s="2" t="str">
        <f ca="1">IFERROR(__xludf.DUMMYFUNCTION("""COMPUTED_VALUE"""),"06.001.0010.0304.0094.2046.33.90.36")</f>
        <v>06.001.0010.0304.0094.2046.33.90.36</v>
      </c>
      <c r="W297" s="2" t="str">
        <f ca="1">IFERROR(__xludf.DUMMYFUNCTION("""COMPUTED_VALUE"""),"4942")</f>
        <v>4942</v>
      </c>
      <c r="X297" s="2"/>
      <c r="Y297" s="2"/>
      <c r="Z297" s="2"/>
      <c r="AA297" s="2"/>
      <c r="AB297" s="2"/>
      <c r="AC297" s="2"/>
      <c r="AD297" s="2"/>
      <c r="AE297" s="2"/>
      <c r="AF297" s="2"/>
    </row>
    <row r="298" spans="1:32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>
        <f ca="1">IFERROR(__xludf.DUMMYFUNCTION("""COMPUTED_VALUE"""),2023)</f>
        <v>2023</v>
      </c>
      <c r="Q298" s="2" t="str">
        <f ca="1">IFERROR(__xludf.DUMMYFUNCTION("""COMPUTED_VALUE"""),"0343")</f>
        <v>0343</v>
      </c>
      <c r="R298" s="2" t="str">
        <f ca="1">IFERROR(__xludf.DUMMYFUNCTION("""COMPUTED_VALUE"""),"08.007.0008.0241.0118.2031.33.90.32")</f>
        <v>08.007.0008.0241.0118.2031.33.90.32</v>
      </c>
      <c r="S298" s="2" t="str">
        <f ca="1">IFERROR(__xludf.DUMMYFUNCTION("""COMPUTED_VALUE"""),"0000")</f>
        <v>0000</v>
      </c>
      <c r="T298" s="2">
        <f ca="1">IFERROR(__xludf.DUMMYFUNCTION("""COMPUTED_VALUE"""),2024)</f>
        <v>2024</v>
      </c>
      <c r="U298" s="2" t="str">
        <f ca="1">IFERROR(__xludf.DUMMYFUNCTION("""COMPUTED_VALUE"""),"0388")</f>
        <v>0388</v>
      </c>
      <c r="V298" s="2" t="str">
        <f ca="1">IFERROR(__xludf.DUMMYFUNCTION("""COMPUTED_VALUE"""),"06.001.0010.0304.0094.2046.33.90.39")</f>
        <v>06.001.0010.0304.0094.2046.33.90.39</v>
      </c>
      <c r="W298" s="2" t="str">
        <f ca="1">IFERROR(__xludf.DUMMYFUNCTION("""COMPUTED_VALUE"""),"4942")</f>
        <v>4942</v>
      </c>
      <c r="X298" s="2"/>
      <c r="Y298" s="2"/>
      <c r="Z298" s="2"/>
      <c r="AA298" s="2"/>
      <c r="AB298" s="2"/>
      <c r="AC298" s="2"/>
      <c r="AD298" s="2"/>
      <c r="AE298" s="2"/>
      <c r="AF298" s="2"/>
    </row>
    <row r="299" spans="1:32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>
        <f ca="1">IFERROR(__xludf.DUMMYFUNCTION("""COMPUTED_VALUE"""),2023)</f>
        <v>2023</v>
      </c>
      <c r="Q299" s="2" t="str">
        <f ca="1">IFERROR(__xludf.DUMMYFUNCTION("""COMPUTED_VALUE"""),"0344")</f>
        <v>0344</v>
      </c>
      <c r="R299" s="2" t="str">
        <f ca="1">IFERROR(__xludf.DUMMYFUNCTION("""COMPUTED_VALUE"""),"08.003.0008.0244.0118.2032.33.90.32")</f>
        <v>08.003.0008.0244.0118.2032.33.90.32</v>
      </c>
      <c r="S299" s="2" t="str">
        <f ca="1">IFERROR(__xludf.DUMMYFUNCTION("""COMPUTED_VALUE"""),"0000")</f>
        <v>0000</v>
      </c>
      <c r="T299" s="2">
        <f ca="1">IFERROR(__xludf.DUMMYFUNCTION("""COMPUTED_VALUE"""),2024)</f>
        <v>2024</v>
      </c>
      <c r="U299" s="2" t="str">
        <f ca="1">IFERROR(__xludf.DUMMYFUNCTION("""COMPUTED_VALUE"""),"0389")</f>
        <v>0389</v>
      </c>
      <c r="V299" s="2" t="str">
        <f ca="1">IFERROR(__xludf.DUMMYFUNCTION("""COMPUTED_VALUE"""),"06.001.0010.0304.0094.2046.33.90.40")</f>
        <v>06.001.0010.0304.0094.2046.33.90.40</v>
      </c>
      <c r="W299" s="2" t="str">
        <f ca="1">IFERROR(__xludf.DUMMYFUNCTION("""COMPUTED_VALUE"""),"4942")</f>
        <v>4942</v>
      </c>
      <c r="X299" s="2"/>
      <c r="Y299" s="2"/>
      <c r="Z299" s="2"/>
      <c r="AA299" s="2"/>
      <c r="AB299" s="2"/>
      <c r="AC299" s="2"/>
      <c r="AD299" s="2"/>
      <c r="AE299" s="2"/>
      <c r="AF299" s="2"/>
    </row>
    <row r="300" spans="1:32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>
        <f ca="1">IFERROR(__xludf.DUMMYFUNCTION("""COMPUTED_VALUE"""),2023)</f>
        <v>2023</v>
      </c>
      <c r="Q300" s="2" t="str">
        <f ca="1">IFERROR(__xludf.DUMMYFUNCTION("""COMPUTED_VALUE"""),"0345")</f>
        <v>0345</v>
      </c>
      <c r="R300" s="2" t="str">
        <f ca="1">IFERROR(__xludf.DUMMYFUNCTION("""COMPUTED_VALUE"""),"08.003.0008.0243.0118.6000.33.90.32")</f>
        <v>08.003.0008.0243.0118.6000.33.90.32</v>
      </c>
      <c r="S300" s="2" t="str">
        <f ca="1">IFERROR(__xludf.DUMMYFUNCTION("""COMPUTED_VALUE"""),"00935")</f>
        <v>00935</v>
      </c>
      <c r="T300" s="2">
        <f ca="1">IFERROR(__xludf.DUMMYFUNCTION("""COMPUTED_VALUE"""),2024)</f>
        <v>2024</v>
      </c>
      <c r="U300" s="2" t="str">
        <f ca="1">IFERROR(__xludf.DUMMYFUNCTION("""COMPUTED_VALUE"""),"0390")</f>
        <v>0390</v>
      </c>
      <c r="V300" s="2" t="str">
        <f ca="1">IFERROR(__xludf.DUMMYFUNCTION("""COMPUTED_VALUE"""),"06.001.0010.0305.0094.1018.44.90.52")</f>
        <v>06.001.0010.0305.0094.1018.44.90.52</v>
      </c>
      <c r="W300" s="2" t="str">
        <f ca="1">IFERROR(__xludf.DUMMYFUNCTION("""COMPUTED_VALUE"""),"4942")</f>
        <v>4942</v>
      </c>
      <c r="X300" s="2"/>
      <c r="Y300" s="2"/>
      <c r="Z300" s="2"/>
      <c r="AA300" s="2"/>
      <c r="AB300" s="2"/>
      <c r="AC300" s="2"/>
      <c r="AD300" s="2"/>
      <c r="AE300" s="2"/>
      <c r="AF300" s="2"/>
    </row>
    <row r="301" spans="1:32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>
        <f ca="1">IFERROR(__xludf.DUMMYFUNCTION("""COMPUTED_VALUE"""),2023)</f>
        <v>2023</v>
      </c>
      <c r="Q301" s="2" t="str">
        <f ca="1">IFERROR(__xludf.DUMMYFUNCTION("""COMPUTED_VALUE"""),"0346")</f>
        <v>0346</v>
      </c>
      <c r="R301" s="2" t="str">
        <f ca="1">IFERROR(__xludf.DUMMYFUNCTION("""COMPUTED_VALUE"""),"08.005.0008.0243.0118.6001.33.90.32")</f>
        <v>08.005.0008.0243.0118.6001.33.90.32</v>
      </c>
      <c r="S301" s="2" t="str">
        <f ca="1">IFERROR(__xludf.DUMMYFUNCTION("""COMPUTED_VALUE"""),"0000")</f>
        <v>0000</v>
      </c>
      <c r="T301" s="2">
        <f ca="1">IFERROR(__xludf.DUMMYFUNCTION("""COMPUTED_VALUE"""),2024)</f>
        <v>2024</v>
      </c>
      <c r="U301" s="2" t="str">
        <f ca="1">IFERROR(__xludf.DUMMYFUNCTION("""COMPUTED_VALUE"""),"0396")</f>
        <v>0396</v>
      </c>
      <c r="V301" s="2" t="str">
        <f ca="1">IFERROR(__xludf.DUMMYFUNCTION("""COMPUTED_VALUE"""),"06.001.0010.0305.0094.1081.44.90.51")</f>
        <v>06.001.0010.0305.0094.1081.44.90.51</v>
      </c>
      <c r="W301" s="2" t="str">
        <f ca="1">IFERROR(__xludf.DUMMYFUNCTION("""COMPUTED_VALUE"""),"5108")</f>
        <v>5108</v>
      </c>
      <c r="X301" s="2"/>
      <c r="Y301" s="2"/>
      <c r="Z301" s="2"/>
      <c r="AA301" s="2"/>
      <c r="AB301" s="2"/>
      <c r="AC301" s="2"/>
      <c r="AD301" s="2"/>
      <c r="AE301" s="2"/>
      <c r="AF301" s="2"/>
    </row>
    <row r="302" spans="1:3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>
        <f ca="1">IFERROR(__xludf.DUMMYFUNCTION("""COMPUTED_VALUE"""),2023)</f>
        <v>2023</v>
      </c>
      <c r="Q302" s="2" t="str">
        <f ca="1">IFERROR(__xludf.DUMMYFUNCTION("""COMPUTED_VALUE"""),"0347")</f>
        <v>0347</v>
      </c>
      <c r="R302" s="2" t="str">
        <f ca="1">IFERROR(__xludf.DUMMYFUNCTION("""COMPUTED_VALUE"""),"10.005.0018.0541.0123.2112.33.90.32")</f>
        <v>10.005.0018.0541.0123.2112.33.90.32</v>
      </c>
      <c r="S302" s="2" t="str">
        <f ca="1">IFERROR(__xludf.DUMMYFUNCTION("""COMPUTED_VALUE"""),"0000")</f>
        <v>0000</v>
      </c>
      <c r="T302" s="2">
        <f ca="1">IFERROR(__xludf.DUMMYFUNCTION("""COMPUTED_VALUE"""),2024)</f>
        <v>2024</v>
      </c>
      <c r="U302" s="2" t="str">
        <f ca="1">IFERROR(__xludf.DUMMYFUNCTION("""COMPUTED_VALUE"""),"0398")</f>
        <v>0398</v>
      </c>
      <c r="V302" s="2" t="str">
        <f ca="1">IFERROR(__xludf.DUMMYFUNCTION("""COMPUTED_VALUE"""),"06.001.0010.0305.0094.2040.31.90.07")</f>
        <v>06.001.0010.0305.0094.2040.31.90.07</v>
      </c>
      <c r="W302" s="2" t="str">
        <f ca="1">IFERROR(__xludf.DUMMYFUNCTION("""COMPUTED_VALUE"""),"303")</f>
        <v>303</v>
      </c>
      <c r="X302" s="2"/>
      <c r="Y302" s="2"/>
      <c r="Z302" s="2"/>
      <c r="AA302" s="2"/>
      <c r="AB302" s="2"/>
      <c r="AC302" s="2"/>
      <c r="AD302" s="2"/>
      <c r="AE302" s="2"/>
      <c r="AF302" s="2"/>
    </row>
    <row r="303" spans="1:32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>
        <f ca="1">IFERROR(__xludf.DUMMYFUNCTION("""COMPUTED_VALUE"""),2023)</f>
        <v>2023</v>
      </c>
      <c r="Q303" s="2" t="str">
        <f ca="1">IFERROR(__xludf.DUMMYFUNCTION("""COMPUTED_VALUE"""),"0348")</f>
        <v>0348</v>
      </c>
      <c r="R303" s="2" t="str">
        <f ca="1">IFERROR(__xludf.DUMMYFUNCTION("""COMPUTED_VALUE"""),"10.008.0018.0542.0123.2113.33.90.32")</f>
        <v>10.008.0018.0542.0123.2113.33.90.32</v>
      </c>
      <c r="S303" s="2" t="str">
        <f ca="1">IFERROR(__xludf.DUMMYFUNCTION("""COMPUTED_VALUE"""),"0000")</f>
        <v>0000</v>
      </c>
      <c r="T303" s="2">
        <f ca="1">IFERROR(__xludf.DUMMYFUNCTION("""COMPUTED_VALUE"""),2024)</f>
        <v>2024</v>
      </c>
      <c r="U303" s="2" t="str">
        <f ca="1">IFERROR(__xludf.DUMMYFUNCTION("""COMPUTED_VALUE"""),"1191")</f>
        <v>1191</v>
      </c>
      <c r="V303" s="2" t="str">
        <f ca="1">IFERROR(__xludf.DUMMYFUNCTION("""COMPUTED_VALUE"""),"06.001.0010.0305.0094.2040.31.90.11")</f>
        <v>06.001.0010.0305.0094.2040.31.90.11</v>
      </c>
      <c r="W303" s="2" t="str">
        <f ca="1">IFERROR(__xludf.DUMMYFUNCTION("""COMPUTED_VALUE"""),"303")</f>
        <v>303</v>
      </c>
      <c r="X303" s="2"/>
      <c r="Y303" s="2"/>
      <c r="Z303" s="2"/>
      <c r="AA303" s="2"/>
      <c r="AB303" s="2"/>
      <c r="AC303" s="2"/>
      <c r="AD303" s="2"/>
      <c r="AE303" s="2"/>
      <c r="AF303" s="2"/>
    </row>
    <row r="304" spans="1:32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>
        <f ca="1">IFERROR(__xludf.DUMMYFUNCTION("""COMPUTED_VALUE"""),2023)</f>
        <v>2023</v>
      </c>
      <c r="Q304" s="2" t="str">
        <f ca="1">IFERROR(__xludf.DUMMYFUNCTION("""COMPUTED_VALUE"""),"0349")</f>
        <v>0349</v>
      </c>
      <c r="R304" s="2" t="str">
        <f ca="1">IFERROR(__xludf.DUMMYFUNCTION("""COMPUTED_VALUE"""),"10.006.0018.0541.0123.2114.33.90.32")</f>
        <v>10.006.0018.0541.0123.2114.33.90.32</v>
      </c>
      <c r="S304" s="2" t="str">
        <f ca="1">IFERROR(__xludf.DUMMYFUNCTION("""COMPUTED_VALUE"""),"00555")</f>
        <v>00555</v>
      </c>
      <c r="T304" s="2">
        <f ca="1">IFERROR(__xludf.DUMMYFUNCTION("""COMPUTED_VALUE"""),2024)</f>
        <v>2024</v>
      </c>
      <c r="U304" s="2" t="str">
        <f ca="1">IFERROR(__xludf.DUMMYFUNCTION("""COMPUTED_VALUE"""),"0399")</f>
        <v>0399</v>
      </c>
      <c r="V304" s="2" t="str">
        <f ca="1">IFERROR(__xludf.DUMMYFUNCTION("""COMPUTED_VALUE"""),"06.001.0010.0305.0094.2040.31.90.11")</f>
        <v>06.001.0010.0305.0094.2040.31.90.11</v>
      </c>
      <c r="W304" s="2" t="str">
        <f ca="1">IFERROR(__xludf.DUMMYFUNCTION("""COMPUTED_VALUE"""),"303")</f>
        <v>303</v>
      </c>
      <c r="X304" s="2"/>
      <c r="Y304" s="2"/>
      <c r="Z304" s="2"/>
      <c r="AA304" s="2"/>
      <c r="AB304" s="2"/>
      <c r="AC304" s="2"/>
      <c r="AD304" s="2"/>
      <c r="AE304" s="2"/>
      <c r="AF304" s="2"/>
    </row>
    <row r="305" spans="1:32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>
        <f ca="1">IFERROR(__xludf.DUMMYFUNCTION("""COMPUTED_VALUE"""),2023)</f>
        <v>2023</v>
      </c>
      <c r="Q305" s="2" t="str">
        <f ca="1">IFERROR(__xludf.DUMMYFUNCTION("""COMPUTED_VALUE"""),"0350")</f>
        <v>0350</v>
      </c>
      <c r="R305" s="2" t="str">
        <f ca="1">IFERROR(__xludf.DUMMYFUNCTION("""COMPUTED_VALUE"""),"18.001.0004.0121.0140.2023.33.90.32")</f>
        <v>18.001.0004.0121.0140.2023.33.90.32</v>
      </c>
      <c r="S305" s="2" t="str">
        <f ca="1">IFERROR(__xludf.DUMMYFUNCTION("""COMPUTED_VALUE"""),"0000")</f>
        <v>0000</v>
      </c>
      <c r="T305" s="2">
        <f ca="1">IFERROR(__xludf.DUMMYFUNCTION("""COMPUTED_VALUE"""),2024)</f>
        <v>2024</v>
      </c>
      <c r="U305" s="2" t="str">
        <f ca="1">IFERROR(__xludf.DUMMYFUNCTION("""COMPUTED_VALUE"""),"0421")</f>
        <v>0421</v>
      </c>
      <c r="V305" s="2" t="str">
        <f ca="1">IFERROR(__xludf.DUMMYFUNCTION("""COMPUTED_VALUE"""),"06.001.0010.0305.0094.2040.31.90.13")</f>
        <v>06.001.0010.0305.0094.2040.31.90.13</v>
      </c>
      <c r="W305" s="2" t="str">
        <f ca="1">IFERROR(__xludf.DUMMYFUNCTION("""COMPUTED_VALUE"""),"10510")</f>
        <v>10510</v>
      </c>
      <c r="X305" s="2"/>
      <c r="Y305" s="2"/>
      <c r="Z305" s="2"/>
      <c r="AA305" s="2"/>
      <c r="AB305" s="2"/>
      <c r="AC305" s="2"/>
      <c r="AD305" s="2"/>
      <c r="AE305" s="2"/>
      <c r="AF305" s="2"/>
    </row>
    <row r="306" spans="1:32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>
        <f ca="1">IFERROR(__xludf.DUMMYFUNCTION("""COMPUTED_VALUE"""),2023)</f>
        <v>2023</v>
      </c>
      <c r="Q306" s="2" t="str">
        <f ca="1">IFERROR(__xludf.DUMMYFUNCTION("""COMPUTED_VALUE"""),"0351")</f>
        <v>0351</v>
      </c>
      <c r="R306" s="2" t="str">
        <f ca="1">IFERROR(__xludf.DUMMYFUNCTION("""COMPUTED_VALUE"""),"18.002.0006.0181.0140.2024.33.90.32")</f>
        <v>18.002.0006.0181.0140.2024.33.90.32</v>
      </c>
      <c r="S306" s="2" t="str">
        <f ca="1">IFERROR(__xludf.DUMMYFUNCTION("""COMPUTED_VALUE"""),"0000")</f>
        <v>0000</v>
      </c>
      <c r="T306" s="2">
        <f ca="1">IFERROR(__xludf.DUMMYFUNCTION("""COMPUTED_VALUE"""),2024)</f>
        <v>2024</v>
      </c>
      <c r="U306" s="2" t="str">
        <f ca="1">IFERROR(__xludf.DUMMYFUNCTION("""COMPUTED_VALUE"""),"0400")</f>
        <v>0400</v>
      </c>
      <c r="V306" s="2" t="str">
        <f ca="1">IFERROR(__xludf.DUMMYFUNCTION("""COMPUTED_VALUE"""),"06.001.0010.0305.0094.2040.31.91.13")</f>
        <v>06.001.0010.0305.0094.2040.31.91.13</v>
      </c>
      <c r="W306" s="2" t="str">
        <f ca="1">IFERROR(__xludf.DUMMYFUNCTION("""COMPUTED_VALUE"""),"303")</f>
        <v>303</v>
      </c>
      <c r="X306" s="2"/>
      <c r="Y306" s="2"/>
      <c r="Z306" s="2"/>
      <c r="AA306" s="2"/>
      <c r="AB306" s="2"/>
      <c r="AC306" s="2"/>
      <c r="AD306" s="2"/>
      <c r="AE306" s="2"/>
      <c r="AF306" s="2"/>
    </row>
    <row r="307" spans="1:32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>
        <f ca="1">IFERROR(__xludf.DUMMYFUNCTION("""COMPUTED_VALUE"""),2023)</f>
        <v>2023</v>
      </c>
      <c r="Q307" s="2" t="str">
        <f ca="1">IFERROR(__xludf.DUMMYFUNCTION("""COMPUTED_VALUE"""),"0352")</f>
        <v>0352</v>
      </c>
      <c r="R307" s="2" t="str">
        <f ca="1">IFERROR(__xludf.DUMMYFUNCTION("""COMPUTED_VALUE"""),"18.002.0006.0181.0140.2024.33.90.32")</f>
        <v>18.002.0006.0181.0140.2024.33.90.32</v>
      </c>
      <c r="S307" s="2" t="str">
        <f ca="1">IFERROR(__xludf.DUMMYFUNCTION("""COMPUTED_VALUE"""),"01011")</f>
        <v>01011</v>
      </c>
      <c r="T307" s="2">
        <f ca="1">IFERROR(__xludf.DUMMYFUNCTION("""COMPUTED_VALUE"""),2024)</f>
        <v>2024</v>
      </c>
      <c r="U307" s="2" t="str">
        <f ca="1">IFERROR(__xludf.DUMMYFUNCTION("""COMPUTED_VALUE"""),"0401")</f>
        <v>0401</v>
      </c>
      <c r="V307" s="2" t="str">
        <f ca="1">IFERROR(__xludf.DUMMYFUNCTION("""COMPUTED_VALUE"""),"06.001.0010.0305.0094.2040.33.90.14")</f>
        <v>06.001.0010.0305.0094.2040.33.90.14</v>
      </c>
      <c r="W307" s="2" t="str">
        <f ca="1">IFERROR(__xludf.DUMMYFUNCTION("""COMPUTED_VALUE"""),"303")</f>
        <v>303</v>
      </c>
      <c r="X307" s="2"/>
      <c r="Y307" s="2"/>
      <c r="Z307" s="2"/>
      <c r="AA307" s="2"/>
      <c r="AB307" s="2"/>
      <c r="AC307" s="2"/>
      <c r="AD307" s="2"/>
      <c r="AE307" s="2"/>
      <c r="AF307" s="2"/>
    </row>
    <row r="308" spans="1:32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>
        <f ca="1">IFERROR(__xludf.DUMMYFUNCTION("""COMPUTED_VALUE"""),2023)</f>
        <v>2023</v>
      </c>
      <c r="Q308" s="2" t="str">
        <f ca="1">IFERROR(__xludf.DUMMYFUNCTION("""COMPUTED_VALUE"""),"0353")</f>
        <v>0353</v>
      </c>
      <c r="R308" s="2" t="str">
        <f ca="1">IFERROR(__xludf.DUMMYFUNCTION("""COMPUTED_VALUE"""),"18.002.0006.0182.0140.2025.33.90.32")</f>
        <v>18.002.0006.0182.0140.2025.33.90.32</v>
      </c>
      <c r="S308" s="2" t="str">
        <f ca="1">IFERROR(__xludf.DUMMYFUNCTION("""COMPUTED_VALUE"""),"0000")</f>
        <v>0000</v>
      </c>
      <c r="T308" s="2">
        <f ca="1">IFERROR(__xludf.DUMMYFUNCTION("""COMPUTED_VALUE"""),2024)</f>
        <v>2024</v>
      </c>
      <c r="U308" s="2" t="str">
        <f ca="1">IFERROR(__xludf.DUMMYFUNCTION("""COMPUTED_VALUE"""),"0413")</f>
        <v>0413</v>
      </c>
      <c r="V308" s="2" t="str">
        <f ca="1">IFERROR(__xludf.DUMMYFUNCTION("""COMPUTED_VALUE"""),"06.001.0010.0305.0094.2040.33.90.30")</f>
        <v>06.001.0010.0305.0094.2040.33.90.30</v>
      </c>
      <c r="W308" s="2" t="str">
        <f ca="1">IFERROR(__xludf.DUMMYFUNCTION("""COMPUTED_VALUE"""),"4942")</f>
        <v>4942</v>
      </c>
      <c r="X308" s="2"/>
      <c r="Y308" s="2"/>
      <c r="Z308" s="2"/>
      <c r="AA308" s="2"/>
      <c r="AB308" s="2"/>
      <c r="AC308" s="2"/>
      <c r="AD308" s="2"/>
      <c r="AE308" s="2"/>
      <c r="AF308" s="2"/>
    </row>
    <row r="309" spans="1:32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>
        <f ca="1">IFERROR(__xludf.DUMMYFUNCTION("""COMPUTED_VALUE"""),2023)</f>
        <v>2023</v>
      </c>
      <c r="Q309" s="2" t="str">
        <f ca="1">IFERROR(__xludf.DUMMYFUNCTION("""COMPUTED_VALUE"""),"0354")</f>
        <v>0354</v>
      </c>
      <c r="R309" s="2" t="str">
        <f ca="1">IFERROR(__xludf.DUMMYFUNCTION("""COMPUTED_VALUE"""),"18.003.0015.0452.0140.2027.33.90.32")</f>
        <v>18.003.0015.0452.0140.2027.33.90.32</v>
      </c>
      <c r="S309" s="2" t="str">
        <f ca="1">IFERROR(__xludf.DUMMYFUNCTION("""COMPUTED_VALUE"""),"0000")</f>
        <v>0000</v>
      </c>
      <c r="T309" s="2">
        <f ca="1">IFERROR(__xludf.DUMMYFUNCTION("""COMPUTED_VALUE"""),2024)</f>
        <v>2024</v>
      </c>
      <c r="U309" s="2" t="str">
        <f ca="1">IFERROR(__xludf.DUMMYFUNCTION("""COMPUTED_VALUE"""),"0402")</f>
        <v>0402</v>
      </c>
      <c r="V309" s="2" t="str">
        <f ca="1">IFERROR(__xludf.DUMMYFUNCTION("""COMPUTED_VALUE"""),"06.001.0010.0305.0094.2040.33.90.30")</f>
        <v>06.001.0010.0305.0094.2040.33.90.30</v>
      </c>
      <c r="W309" s="2" t="str">
        <f ca="1">IFERROR(__xludf.DUMMYFUNCTION("""COMPUTED_VALUE"""),"303")</f>
        <v>303</v>
      </c>
      <c r="X309" s="2"/>
      <c r="Y309" s="2"/>
      <c r="Z309" s="2"/>
      <c r="AA309" s="2"/>
      <c r="AB309" s="2"/>
      <c r="AC309" s="2"/>
      <c r="AD309" s="2"/>
      <c r="AE309" s="2"/>
      <c r="AF309" s="2"/>
    </row>
    <row r="310" spans="1:32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>
        <f ca="1">IFERROR(__xludf.DUMMYFUNCTION("""COMPUTED_VALUE"""),2023)</f>
        <v>2023</v>
      </c>
      <c r="Q310" s="2" t="str">
        <f ca="1">IFERROR(__xludf.DUMMYFUNCTION("""COMPUTED_VALUE"""),"0355")</f>
        <v>0355</v>
      </c>
      <c r="R310" s="2" t="str">
        <f ca="1">IFERROR(__xludf.DUMMYFUNCTION("""COMPUTED_VALUE"""),"18.003.0015.0452.0140.2027.33.90.32")</f>
        <v>18.003.0015.0452.0140.2027.33.90.32</v>
      </c>
      <c r="S310" s="2" t="str">
        <f ca="1">IFERROR(__xludf.DUMMYFUNCTION("""COMPUTED_VALUE"""),"00509")</f>
        <v>00509</v>
      </c>
      <c r="T310" s="2">
        <f ca="1">IFERROR(__xludf.DUMMYFUNCTION("""COMPUTED_VALUE"""),2024)</f>
        <v>2024</v>
      </c>
      <c r="U310" s="2" t="str">
        <f ca="1">IFERROR(__xludf.DUMMYFUNCTION("""COMPUTED_VALUE"""),"0414")</f>
        <v>0414</v>
      </c>
      <c r="V310" s="2" t="str">
        <f ca="1">IFERROR(__xludf.DUMMYFUNCTION("""COMPUTED_VALUE"""),"06.001.0010.0305.0094.2040.33.90.32")</f>
        <v>06.001.0010.0305.0094.2040.33.90.32</v>
      </c>
      <c r="W310" s="2" t="str">
        <f ca="1">IFERROR(__xludf.DUMMYFUNCTION("""COMPUTED_VALUE"""),"4942")</f>
        <v>4942</v>
      </c>
      <c r="X310" s="2"/>
      <c r="Y310" s="2"/>
      <c r="Z310" s="2"/>
      <c r="AA310" s="2"/>
      <c r="AB310" s="2"/>
      <c r="AC310" s="2"/>
      <c r="AD310" s="2"/>
      <c r="AE310" s="2"/>
      <c r="AF310" s="2"/>
    </row>
    <row r="311" spans="1:32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>
        <f ca="1">IFERROR(__xludf.DUMMYFUNCTION("""COMPUTED_VALUE"""),2023)</f>
        <v>2023</v>
      </c>
      <c r="Q311" s="2" t="str">
        <f ca="1">IFERROR(__xludf.DUMMYFUNCTION("""COMPUTED_VALUE"""),"0356")</f>
        <v>0356</v>
      </c>
      <c r="R311" s="2" t="str">
        <f ca="1">IFERROR(__xludf.DUMMYFUNCTION("""COMPUTED_VALUE"""),"18.004.0006.0181.0140.2142.33.90.32")</f>
        <v>18.004.0006.0181.0140.2142.33.90.32</v>
      </c>
      <c r="S311" s="2" t="str">
        <f ca="1">IFERROR(__xludf.DUMMYFUNCTION("""COMPUTED_VALUE"""),"0000")</f>
        <v>0000</v>
      </c>
      <c r="T311" s="2">
        <f ca="1">IFERROR(__xludf.DUMMYFUNCTION("""COMPUTED_VALUE"""),2024)</f>
        <v>2024</v>
      </c>
      <c r="U311" s="2" t="str">
        <f ca="1">IFERROR(__xludf.DUMMYFUNCTION("""COMPUTED_VALUE"""),"0415")</f>
        <v>0415</v>
      </c>
      <c r="V311" s="2" t="str">
        <f ca="1">IFERROR(__xludf.DUMMYFUNCTION("""COMPUTED_VALUE"""),"06.001.0010.0305.0094.2040.33.90.33")</f>
        <v>06.001.0010.0305.0094.2040.33.90.33</v>
      </c>
      <c r="W311" s="2" t="str">
        <f ca="1">IFERROR(__xludf.DUMMYFUNCTION("""COMPUTED_VALUE"""),"4942")</f>
        <v>4942</v>
      </c>
      <c r="X311" s="2"/>
      <c r="Y311" s="2"/>
      <c r="Z311" s="2"/>
      <c r="AA311" s="2"/>
      <c r="AB311" s="2"/>
      <c r="AC311" s="2"/>
      <c r="AD311" s="2"/>
      <c r="AE311" s="2"/>
      <c r="AF311" s="2"/>
    </row>
    <row r="312" spans="1:3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>
        <f ca="1">IFERROR(__xludf.DUMMYFUNCTION("""COMPUTED_VALUE"""),2023)</f>
        <v>2023</v>
      </c>
      <c r="Q312" s="2" t="str">
        <f ca="1">IFERROR(__xludf.DUMMYFUNCTION("""COMPUTED_VALUE"""),"0357")</f>
        <v>0357</v>
      </c>
      <c r="R312" s="2" t="str">
        <f ca="1">IFERROR(__xludf.DUMMYFUNCTION("""COMPUTED_VALUE"""),"18.004.0006.0182.0140.2143.33.90.32")</f>
        <v>18.004.0006.0182.0140.2143.33.90.32</v>
      </c>
      <c r="S312" s="2" t="str">
        <f ca="1">IFERROR(__xludf.DUMMYFUNCTION("""COMPUTED_VALUE"""),"0000")</f>
        <v>0000</v>
      </c>
      <c r="T312" s="2">
        <f ca="1">IFERROR(__xludf.DUMMYFUNCTION("""COMPUTED_VALUE"""),2024)</f>
        <v>2024</v>
      </c>
      <c r="U312" s="2" t="str">
        <f ca="1">IFERROR(__xludf.DUMMYFUNCTION("""COMPUTED_VALUE"""),"0416")</f>
        <v>0416</v>
      </c>
      <c r="V312" s="2" t="str">
        <f ca="1">IFERROR(__xludf.DUMMYFUNCTION("""COMPUTED_VALUE"""),"06.001.0010.0305.0094.2040.33.90.36")</f>
        <v>06.001.0010.0305.0094.2040.33.90.36</v>
      </c>
      <c r="W312" s="2" t="str">
        <f ca="1">IFERROR(__xludf.DUMMYFUNCTION("""COMPUTED_VALUE"""),"4942")</f>
        <v>4942</v>
      </c>
      <c r="X312" s="2"/>
      <c r="Y312" s="2"/>
      <c r="Z312" s="2"/>
      <c r="AA312" s="2"/>
      <c r="AB312" s="2"/>
      <c r="AC312" s="2"/>
      <c r="AD312" s="2"/>
      <c r="AE312" s="2"/>
      <c r="AF312" s="2"/>
    </row>
    <row r="313" spans="1:32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>
        <f ca="1">IFERROR(__xludf.DUMMYFUNCTION("""COMPUTED_VALUE"""),2023)</f>
        <v>2023</v>
      </c>
      <c r="Q313" s="2" t="str">
        <f ca="1">IFERROR(__xludf.DUMMYFUNCTION("""COMPUTED_VALUE"""),"0358")</f>
        <v>0358</v>
      </c>
      <c r="R313" s="2" t="str">
        <f ca="1">IFERROR(__xludf.DUMMYFUNCTION("""COMPUTED_VALUE"""),"18.004.0015.0452.0140.2145.33.90.32")</f>
        <v>18.004.0015.0452.0140.2145.33.90.32</v>
      </c>
      <c r="S313" s="2" t="str">
        <f ca="1">IFERROR(__xludf.DUMMYFUNCTION("""COMPUTED_VALUE"""),"0000")</f>
        <v>0000</v>
      </c>
      <c r="T313" s="2">
        <f ca="1">IFERROR(__xludf.DUMMYFUNCTION("""COMPUTED_VALUE"""),2024)</f>
        <v>2024</v>
      </c>
      <c r="U313" s="2" t="str">
        <f ca="1">IFERROR(__xludf.DUMMYFUNCTION("""COMPUTED_VALUE"""),"0417")</f>
        <v>0417</v>
      </c>
      <c r="V313" s="2" t="str">
        <f ca="1">IFERROR(__xludf.DUMMYFUNCTION("""COMPUTED_VALUE"""),"06.001.0010.0305.0094.2040.33.90.37")</f>
        <v>06.001.0010.0305.0094.2040.33.90.37</v>
      </c>
      <c r="W313" s="2" t="str">
        <f ca="1">IFERROR(__xludf.DUMMYFUNCTION("""COMPUTED_VALUE"""),"4942")</f>
        <v>4942</v>
      </c>
      <c r="X313" s="2"/>
      <c r="Y313" s="2"/>
      <c r="Z313" s="2"/>
      <c r="AA313" s="2"/>
      <c r="AB313" s="2"/>
      <c r="AC313" s="2"/>
      <c r="AD313" s="2"/>
      <c r="AE313" s="2"/>
      <c r="AF313" s="2"/>
    </row>
    <row r="314" spans="1:32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>
        <f ca="1">IFERROR(__xludf.DUMMYFUNCTION("""COMPUTED_VALUE"""),2023)</f>
        <v>2023</v>
      </c>
      <c r="Q314" s="2" t="str">
        <f ca="1">IFERROR(__xludf.DUMMYFUNCTION("""COMPUTED_VALUE"""),"0359")</f>
        <v>0359</v>
      </c>
      <c r="R314" s="2" t="str">
        <f ca="1">IFERROR(__xludf.DUMMYFUNCTION("""COMPUTED_VALUE"""),"02.001.0004.0121.0022.2104.33.90.33")</f>
        <v>02.001.0004.0121.0022.2104.33.90.33</v>
      </c>
      <c r="S314" s="2" t="str">
        <f ca="1">IFERROR(__xludf.DUMMYFUNCTION("""COMPUTED_VALUE"""),"0000")</f>
        <v>0000</v>
      </c>
      <c r="T314" s="2">
        <f ca="1">IFERROR(__xludf.DUMMYFUNCTION("""COMPUTED_VALUE"""),2024)</f>
        <v>2024</v>
      </c>
      <c r="U314" s="2" t="str">
        <f ca="1">IFERROR(__xludf.DUMMYFUNCTION("""COMPUTED_VALUE"""),"0418")</f>
        <v>0418</v>
      </c>
      <c r="V314" s="2" t="str">
        <f ca="1">IFERROR(__xludf.DUMMYFUNCTION("""COMPUTED_VALUE"""),"06.001.0010.0305.0094.2040.33.90.39")</f>
        <v>06.001.0010.0305.0094.2040.33.90.39</v>
      </c>
      <c r="W314" s="2" t="str">
        <f ca="1">IFERROR(__xludf.DUMMYFUNCTION("""COMPUTED_VALUE"""),"4942")</f>
        <v>4942</v>
      </c>
      <c r="X314" s="2"/>
      <c r="Y314" s="2"/>
      <c r="Z314" s="2"/>
      <c r="AA314" s="2"/>
      <c r="AB314" s="2"/>
      <c r="AC314" s="2"/>
      <c r="AD314" s="2"/>
      <c r="AE314" s="2"/>
      <c r="AF314" s="2"/>
    </row>
    <row r="315" spans="1:32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>
        <f ca="1">IFERROR(__xludf.DUMMYFUNCTION("""COMPUTED_VALUE"""),2023)</f>
        <v>2023</v>
      </c>
      <c r="Q315" s="2" t="str">
        <f ca="1">IFERROR(__xludf.DUMMYFUNCTION("""COMPUTED_VALUE"""),"0360")</f>
        <v>0360</v>
      </c>
      <c r="R315" s="2" t="str">
        <f ca="1">IFERROR(__xludf.DUMMYFUNCTION("""COMPUTED_VALUE"""),"04.001.0004.0122.0040.2001.33.90.33")</f>
        <v>04.001.0004.0122.0040.2001.33.90.33</v>
      </c>
      <c r="S315" s="2" t="str">
        <f ca="1">IFERROR(__xludf.DUMMYFUNCTION("""COMPUTED_VALUE"""),"0000")</f>
        <v>0000</v>
      </c>
      <c r="T315" s="2">
        <f ca="1">IFERROR(__xludf.DUMMYFUNCTION("""COMPUTED_VALUE"""),2024)</f>
        <v>2024</v>
      </c>
      <c r="U315" s="2" t="str">
        <f ca="1">IFERROR(__xludf.DUMMYFUNCTION("""COMPUTED_VALUE"""),"0403")</f>
        <v>0403</v>
      </c>
      <c r="V315" s="2" t="str">
        <f ca="1">IFERROR(__xludf.DUMMYFUNCTION("""COMPUTED_VALUE"""),"06.001.0010.0305.0094.2040.33.90.39")</f>
        <v>06.001.0010.0305.0094.2040.33.90.39</v>
      </c>
      <c r="W315" s="2" t="str">
        <f ca="1">IFERROR(__xludf.DUMMYFUNCTION("""COMPUTED_VALUE"""),"303")</f>
        <v>303</v>
      </c>
      <c r="X315" s="2"/>
      <c r="Y315" s="2"/>
      <c r="Z315" s="2"/>
      <c r="AA315" s="2"/>
      <c r="AB315" s="2"/>
      <c r="AC315" s="2"/>
      <c r="AD315" s="2"/>
      <c r="AE315" s="2"/>
      <c r="AF315" s="2"/>
    </row>
    <row r="316" spans="1:32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>
        <f ca="1">IFERROR(__xludf.DUMMYFUNCTION("""COMPUTED_VALUE"""),2023)</f>
        <v>2023</v>
      </c>
      <c r="Q316" s="2" t="str">
        <f ca="1">IFERROR(__xludf.DUMMYFUNCTION("""COMPUTED_VALUE"""),"0361")</f>
        <v>0361</v>
      </c>
      <c r="R316" s="2" t="str">
        <f ca="1">IFERROR(__xludf.DUMMYFUNCTION("""COMPUTED_VALUE"""),"04.001.0004.0122.0040.2003.33.90.33")</f>
        <v>04.001.0004.0122.0040.2003.33.90.33</v>
      </c>
      <c r="S316" s="2" t="str">
        <f ca="1">IFERROR(__xludf.DUMMYFUNCTION("""COMPUTED_VALUE"""),"0000")</f>
        <v>0000</v>
      </c>
      <c r="T316" s="2">
        <f ca="1">IFERROR(__xludf.DUMMYFUNCTION("""COMPUTED_VALUE"""),2024)</f>
        <v>2024</v>
      </c>
      <c r="U316" s="2" t="str">
        <f ca="1">IFERROR(__xludf.DUMMYFUNCTION("""COMPUTED_VALUE"""),"0419")</f>
        <v>0419</v>
      </c>
      <c r="V316" s="2" t="str">
        <f ca="1">IFERROR(__xludf.DUMMYFUNCTION("""COMPUTED_VALUE"""),"06.001.0010.0305.0094.2040.33.90.40")</f>
        <v>06.001.0010.0305.0094.2040.33.90.40</v>
      </c>
      <c r="W316" s="2" t="str">
        <f ca="1">IFERROR(__xludf.DUMMYFUNCTION("""COMPUTED_VALUE"""),"4942")</f>
        <v>4942</v>
      </c>
      <c r="X316" s="2"/>
      <c r="Y316" s="2"/>
      <c r="Z316" s="2"/>
      <c r="AA316" s="2"/>
      <c r="AB316" s="2"/>
      <c r="AC316" s="2"/>
      <c r="AD316" s="2"/>
      <c r="AE316" s="2"/>
      <c r="AF316" s="2"/>
    </row>
    <row r="317" spans="1:32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>
        <f ca="1">IFERROR(__xludf.DUMMYFUNCTION("""COMPUTED_VALUE"""),2023)</f>
        <v>2023</v>
      </c>
      <c r="Q317" s="2" t="str">
        <f ca="1">IFERROR(__xludf.DUMMYFUNCTION("""COMPUTED_VALUE"""),"0362")</f>
        <v>0362</v>
      </c>
      <c r="R317" s="2" t="str">
        <f ca="1">IFERROR(__xludf.DUMMYFUNCTION("""COMPUTED_VALUE"""),"13.001.0004.0124.0051.2049.33.90.33")</f>
        <v>13.001.0004.0124.0051.2049.33.90.33</v>
      </c>
      <c r="S317" s="2" t="str">
        <f ca="1">IFERROR(__xludf.DUMMYFUNCTION("""COMPUTED_VALUE"""),"0000")</f>
        <v>0000</v>
      </c>
      <c r="T317" s="2">
        <f ca="1">IFERROR(__xludf.DUMMYFUNCTION("""COMPUTED_VALUE"""),2024)</f>
        <v>2024</v>
      </c>
      <c r="U317" s="2" t="str">
        <f ca="1">IFERROR(__xludf.DUMMYFUNCTION("""COMPUTED_VALUE"""),"0420")</f>
        <v>0420</v>
      </c>
      <c r="V317" s="2" t="str">
        <f ca="1">IFERROR(__xludf.DUMMYFUNCTION("""COMPUTED_VALUE"""),"07.001.0004.0122.0104.1043.44.90.52")</f>
        <v>07.001.0004.0122.0104.1043.44.90.52</v>
      </c>
      <c r="W317" s="2" t="str">
        <f ca="1">IFERROR(__xludf.DUMMYFUNCTION("""COMPUTED_VALUE"""),"4942")</f>
        <v>4942</v>
      </c>
      <c r="X317" s="2"/>
      <c r="Y317" s="2"/>
      <c r="Z317" s="2"/>
      <c r="AA317" s="2"/>
      <c r="AB317" s="2"/>
      <c r="AC317" s="2"/>
      <c r="AD317" s="2"/>
      <c r="AE317" s="2"/>
      <c r="AF317" s="2"/>
    </row>
    <row r="318" spans="1:32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>
        <f ca="1">IFERROR(__xludf.DUMMYFUNCTION("""COMPUTED_VALUE"""),2023)</f>
        <v>2023</v>
      </c>
      <c r="Q318" s="2" t="str">
        <f ca="1">IFERROR(__xludf.DUMMYFUNCTION("""COMPUTED_VALUE"""),"0363")</f>
        <v>0363</v>
      </c>
      <c r="R318" s="2" t="str">
        <f ca="1">IFERROR(__xludf.DUMMYFUNCTION("""COMPUTED_VALUE"""),"05.001.0012.0361.0074.6012.33.90.33")</f>
        <v>05.001.0012.0361.0074.6012.33.90.33</v>
      </c>
      <c r="S318" s="2" t="str">
        <f ca="1">IFERROR(__xludf.DUMMYFUNCTION("""COMPUTED_VALUE"""),"00107")</f>
        <v>00107</v>
      </c>
      <c r="T318" s="2">
        <f ca="1">IFERROR(__xludf.DUMMYFUNCTION("""COMPUTED_VALUE"""),2024)</f>
        <v>2024</v>
      </c>
      <c r="U318" s="2" t="str">
        <f ca="1">IFERROR(__xludf.DUMMYFUNCTION("""COMPUTED_VALUE"""),"0422")</f>
        <v>0422</v>
      </c>
      <c r="V318" s="2" t="str">
        <f ca="1">IFERROR(__xludf.DUMMYFUNCTION("""COMPUTED_VALUE"""),"07.001.0004.0122.0104.2131.33.90.30")</f>
        <v>07.001.0004.0122.0104.2131.33.90.30</v>
      </c>
      <c r="W318" s="2" t="str">
        <f ca="1">IFERROR(__xludf.DUMMYFUNCTION("""COMPUTED_VALUE"""),"0")</f>
        <v>0</v>
      </c>
      <c r="X318" s="2"/>
      <c r="Y318" s="2"/>
      <c r="Z318" s="2"/>
      <c r="AA318" s="2"/>
      <c r="AB318" s="2"/>
      <c r="AC318" s="2"/>
      <c r="AD318" s="2"/>
      <c r="AE318" s="2"/>
      <c r="AF318" s="2"/>
    </row>
    <row r="319" spans="1:32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>
        <f ca="1">IFERROR(__xludf.DUMMYFUNCTION("""COMPUTED_VALUE"""),2023)</f>
        <v>2023</v>
      </c>
      <c r="Q319" s="2" t="str">
        <f ca="1">IFERROR(__xludf.DUMMYFUNCTION("""COMPUTED_VALUE"""),"0364")</f>
        <v>0364</v>
      </c>
      <c r="R319" s="2" t="str">
        <f ca="1">IFERROR(__xludf.DUMMYFUNCTION("""COMPUTED_VALUE"""),"05.001.0012.0361.0074.6018.33.90.33")</f>
        <v>05.001.0012.0361.0074.6018.33.90.33</v>
      </c>
      <c r="S319" s="2" t="str">
        <f ca="1">IFERROR(__xludf.DUMMYFUNCTION("""COMPUTED_VALUE"""),"0000")</f>
        <v>0000</v>
      </c>
      <c r="T319" s="2">
        <f ca="1">IFERROR(__xludf.DUMMYFUNCTION("""COMPUTED_VALUE"""),2024)</f>
        <v>2024</v>
      </c>
      <c r="U319" s="2" t="str">
        <f ca="1">IFERROR(__xludf.DUMMYFUNCTION("""COMPUTED_VALUE"""),"0423")</f>
        <v>0423</v>
      </c>
      <c r="V319" s="2" t="str">
        <f ca="1">IFERROR(__xludf.DUMMYFUNCTION("""COMPUTED_VALUE"""),"07.001.0004.0122.0104.2131.33.90.39")</f>
        <v>07.001.0004.0122.0104.2131.33.90.39</v>
      </c>
      <c r="W319" s="2" t="str">
        <f ca="1">IFERROR(__xludf.DUMMYFUNCTION("""COMPUTED_VALUE"""),"0")</f>
        <v>0</v>
      </c>
      <c r="X319" s="2"/>
      <c r="Y319" s="2"/>
      <c r="Z319" s="2"/>
      <c r="AA319" s="2"/>
      <c r="AB319" s="2"/>
      <c r="AC319" s="2"/>
      <c r="AD319" s="2"/>
      <c r="AE319" s="2"/>
      <c r="AF319" s="2"/>
    </row>
    <row r="320" spans="1:32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>
        <f ca="1">IFERROR(__xludf.DUMMYFUNCTION("""COMPUTED_VALUE"""),2023)</f>
        <v>2023</v>
      </c>
      <c r="Q320" s="2" t="str">
        <f ca="1">IFERROR(__xludf.DUMMYFUNCTION("""COMPUTED_VALUE"""),"0365")</f>
        <v>0365</v>
      </c>
      <c r="R320" s="2" t="str">
        <f ca="1">IFERROR(__xludf.DUMMYFUNCTION("""COMPUTED_VALUE"""),"05.001.0012.0361.0074.6018.33.90.33")</f>
        <v>05.001.0012.0361.0074.6018.33.90.33</v>
      </c>
      <c r="S320" s="2" t="str">
        <f ca="1">IFERROR(__xludf.DUMMYFUNCTION("""COMPUTED_VALUE"""),"00104")</f>
        <v>00104</v>
      </c>
      <c r="T320" s="2">
        <f ca="1">IFERROR(__xludf.DUMMYFUNCTION("""COMPUTED_VALUE"""),2024)</f>
        <v>2024</v>
      </c>
      <c r="U320" s="2" t="str">
        <f ca="1">IFERROR(__xludf.DUMMYFUNCTION("""COMPUTED_VALUE"""),"0424")</f>
        <v>0424</v>
      </c>
      <c r="V320" s="2" t="str">
        <f ca="1">IFERROR(__xludf.DUMMYFUNCTION("""COMPUTED_VALUE"""),"07.001.0004.0122.0104.2131.33.90.40")</f>
        <v>07.001.0004.0122.0104.2131.33.90.40</v>
      </c>
      <c r="W320" s="2" t="str">
        <f ca="1">IFERROR(__xludf.DUMMYFUNCTION("""COMPUTED_VALUE"""),"0")</f>
        <v>0</v>
      </c>
      <c r="X320" s="2"/>
      <c r="Y320" s="2"/>
      <c r="Z320" s="2"/>
      <c r="AA320" s="2"/>
      <c r="AB320" s="2"/>
      <c r="AC320" s="2"/>
      <c r="AD320" s="2"/>
      <c r="AE320" s="2"/>
      <c r="AF320" s="2"/>
    </row>
    <row r="321" spans="1:32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>
        <f ca="1">IFERROR(__xludf.DUMMYFUNCTION("""COMPUTED_VALUE"""),2023)</f>
        <v>2023</v>
      </c>
      <c r="Q321" s="2" t="str">
        <f ca="1">IFERROR(__xludf.DUMMYFUNCTION("""COMPUTED_VALUE"""),"0366")</f>
        <v>0366</v>
      </c>
      <c r="R321" s="2" t="str">
        <f ca="1">IFERROR(__xludf.DUMMYFUNCTION("""COMPUTED_VALUE"""),"05.001.0012.0361.0074.6018.33.90.33")</f>
        <v>05.001.0012.0361.0074.6018.33.90.33</v>
      </c>
      <c r="S321" s="2" t="str">
        <f ca="1">IFERROR(__xludf.DUMMYFUNCTION("""COMPUTED_VALUE"""),"00118")</f>
        <v>00118</v>
      </c>
      <c r="T321" s="2">
        <f ca="1">IFERROR(__xludf.DUMMYFUNCTION("""COMPUTED_VALUE"""),2024)</f>
        <v>2024</v>
      </c>
      <c r="U321" s="2" t="str">
        <f ca="1">IFERROR(__xludf.DUMMYFUNCTION("""COMPUTED_VALUE"""),"1184")</f>
        <v>1184</v>
      </c>
      <c r="V321" s="2" t="str">
        <f ca="1">IFERROR(__xludf.DUMMYFUNCTION("""COMPUTED_VALUE"""),"07.002.0015.0451.0104.1046.33.90.39")</f>
        <v>07.002.0015.0451.0104.1046.33.90.39</v>
      </c>
      <c r="W321" s="2" t="str">
        <f ca="1">IFERROR(__xludf.DUMMYFUNCTION("""COMPUTED_VALUE"""),"0")</f>
        <v>0</v>
      </c>
      <c r="X321" s="2"/>
      <c r="Y321" s="2"/>
      <c r="Z321" s="2"/>
      <c r="AA321" s="2"/>
      <c r="AB321" s="2"/>
      <c r="AC321" s="2"/>
      <c r="AD321" s="2"/>
      <c r="AE321" s="2"/>
      <c r="AF321" s="2"/>
    </row>
    <row r="322" spans="1:3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>
        <f ca="1">IFERROR(__xludf.DUMMYFUNCTION("""COMPUTED_VALUE"""),2023)</f>
        <v>2023</v>
      </c>
      <c r="Q322" s="2" t="str">
        <f ca="1">IFERROR(__xludf.DUMMYFUNCTION("""COMPUTED_VALUE"""),"0367")</f>
        <v>0367</v>
      </c>
      <c r="R322" s="2" t="str">
        <f ca="1">IFERROR(__xludf.DUMMYFUNCTION("""COMPUTED_VALUE"""),"11.002.0013.0392.0082.2009.33.90.33")</f>
        <v>11.002.0013.0392.0082.2009.33.90.33</v>
      </c>
      <c r="S322" s="2" t="str">
        <f ca="1">IFERROR(__xludf.DUMMYFUNCTION("""COMPUTED_VALUE"""),"0000")</f>
        <v>0000</v>
      </c>
      <c r="T322" s="2">
        <f ca="1">IFERROR(__xludf.DUMMYFUNCTION("""COMPUTED_VALUE"""),2024)</f>
        <v>2024</v>
      </c>
      <c r="U322" s="2" t="str">
        <f ca="1">IFERROR(__xludf.DUMMYFUNCTION("""COMPUTED_VALUE"""),"0426")</f>
        <v>0426</v>
      </c>
      <c r="V322" s="2" t="str">
        <f ca="1">IFERROR(__xludf.DUMMYFUNCTION("""COMPUTED_VALUE"""),"07.002.0015.0451.0104.1046.44.90.30")</f>
        <v>07.002.0015.0451.0104.1046.44.90.30</v>
      </c>
      <c r="W322" s="2" t="str">
        <f ca="1">IFERROR(__xludf.DUMMYFUNCTION("""COMPUTED_VALUE"""),"0")</f>
        <v>0</v>
      </c>
      <c r="X322" s="2"/>
      <c r="Y322" s="2"/>
      <c r="Z322" s="2"/>
      <c r="AA322" s="2"/>
      <c r="AB322" s="2"/>
      <c r="AC322" s="2"/>
      <c r="AD322" s="2"/>
      <c r="AE322" s="2"/>
      <c r="AF322" s="2"/>
    </row>
    <row r="323" spans="1:32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>
        <f ca="1">IFERROR(__xludf.DUMMYFUNCTION("""COMPUTED_VALUE"""),2023)</f>
        <v>2023</v>
      </c>
      <c r="Q323" s="2" t="str">
        <f ca="1">IFERROR(__xludf.DUMMYFUNCTION("""COMPUTED_VALUE"""),"0368")</f>
        <v>0368</v>
      </c>
      <c r="R323" s="2" t="str">
        <f ca="1">IFERROR(__xludf.DUMMYFUNCTION("""COMPUTED_VALUE"""),"11.003.0027.0811.0083.2013.33.90.33")</f>
        <v>11.003.0027.0811.0083.2013.33.90.33</v>
      </c>
      <c r="S323" s="2" t="str">
        <f ca="1">IFERROR(__xludf.DUMMYFUNCTION("""COMPUTED_VALUE"""),"0000")</f>
        <v>0000</v>
      </c>
      <c r="T323" s="2">
        <f ca="1">IFERROR(__xludf.DUMMYFUNCTION("""COMPUTED_VALUE"""),2024)</f>
        <v>2024</v>
      </c>
      <c r="U323" s="2" t="str">
        <f ca="1">IFERROR(__xludf.DUMMYFUNCTION("""COMPUTED_VALUE"""),"0427")</f>
        <v>0427</v>
      </c>
      <c r="V323" s="2" t="str">
        <f ca="1">IFERROR(__xludf.DUMMYFUNCTION("""COMPUTED_VALUE"""),"07.002.0015.0451.0104.1046.44.90.30")</f>
        <v>07.002.0015.0451.0104.1046.44.90.30</v>
      </c>
      <c r="W323" s="2" t="str">
        <f ca="1">IFERROR(__xludf.DUMMYFUNCTION("""COMPUTED_VALUE"""),"0")</f>
        <v>0</v>
      </c>
      <c r="X323" s="2"/>
      <c r="Y323" s="2"/>
      <c r="Z323" s="2"/>
      <c r="AA323" s="2"/>
      <c r="AB323" s="2"/>
      <c r="AC323" s="2"/>
      <c r="AD323" s="2"/>
      <c r="AE323" s="2"/>
      <c r="AF323" s="2"/>
    </row>
    <row r="324" spans="1:32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>
        <f ca="1">IFERROR(__xludf.DUMMYFUNCTION("""COMPUTED_VALUE"""),2023)</f>
        <v>2023</v>
      </c>
      <c r="Q324" s="2" t="str">
        <f ca="1">IFERROR(__xludf.DUMMYFUNCTION("""COMPUTED_VALUE"""),"0369")</f>
        <v>0369</v>
      </c>
      <c r="R324" s="2" t="str">
        <f ca="1">IFERROR(__xludf.DUMMYFUNCTION("""COMPUTED_VALUE"""),"06.001.0010.0301.0094.2037.33.90.33")</f>
        <v>06.001.0010.0301.0094.2037.33.90.33</v>
      </c>
      <c r="S324" s="2" t="str">
        <f ca="1">IFERROR(__xludf.DUMMYFUNCTION("""COMPUTED_VALUE"""),"00303")</f>
        <v>00303</v>
      </c>
      <c r="T324" s="2">
        <f ca="1">IFERROR(__xludf.DUMMYFUNCTION("""COMPUTED_VALUE"""),2024)</f>
        <v>2024</v>
      </c>
      <c r="U324" s="2" t="str">
        <f ca="1">IFERROR(__xludf.DUMMYFUNCTION("""COMPUTED_VALUE"""),"0435")</f>
        <v>0435</v>
      </c>
      <c r="V324" s="2" t="str">
        <f ca="1">IFERROR(__xludf.DUMMYFUNCTION("""COMPUTED_VALUE"""),"07.002.0015.0451.0104.1046.44.90.30")</f>
        <v>07.002.0015.0451.0104.1046.44.90.30</v>
      </c>
      <c r="W324" s="2" t="str">
        <f ca="1">IFERROR(__xludf.DUMMYFUNCTION("""COMPUTED_VALUE"""),"504")</f>
        <v>504</v>
      </c>
      <c r="X324" s="2"/>
      <c r="Y324" s="2"/>
      <c r="Z324" s="2"/>
      <c r="AA324" s="2"/>
      <c r="AB324" s="2"/>
      <c r="AC324" s="2"/>
      <c r="AD324" s="2"/>
      <c r="AE324" s="2"/>
      <c r="AF324" s="2"/>
    </row>
    <row r="325" spans="1:32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>
        <f ca="1">IFERROR(__xludf.DUMMYFUNCTION("""COMPUTED_VALUE"""),2023)</f>
        <v>2023</v>
      </c>
      <c r="Q325" s="2" t="str">
        <f ca="1">IFERROR(__xludf.DUMMYFUNCTION("""COMPUTED_VALUE"""),"0370")</f>
        <v>0370</v>
      </c>
      <c r="R325" s="2" t="str">
        <f ca="1">IFERROR(__xludf.DUMMYFUNCTION("""COMPUTED_VALUE"""),"06.001.0010.0301.0094.2038.33.90.33")</f>
        <v>06.001.0010.0301.0094.2038.33.90.33</v>
      </c>
      <c r="S325" s="2" t="str">
        <f ca="1">IFERROR(__xludf.DUMMYFUNCTION("""COMPUTED_VALUE"""),"00303")</f>
        <v>00303</v>
      </c>
      <c r="T325" s="2">
        <f ca="1">IFERROR(__xludf.DUMMYFUNCTION("""COMPUTED_VALUE"""),2024)</f>
        <v>2024</v>
      </c>
      <c r="U325" s="2" t="str">
        <f ca="1">IFERROR(__xludf.DUMMYFUNCTION("""COMPUTED_VALUE"""),"0436")</f>
        <v>0436</v>
      </c>
      <c r="V325" s="2" t="str">
        <f ca="1">IFERROR(__xludf.DUMMYFUNCTION("""COMPUTED_VALUE"""),"07.002.0015.0451.0104.1046.44.90.30")</f>
        <v>07.002.0015.0451.0104.1046.44.90.30</v>
      </c>
      <c r="W325" s="2" t="str">
        <f ca="1">IFERROR(__xludf.DUMMYFUNCTION("""COMPUTED_VALUE"""),"512")</f>
        <v>512</v>
      </c>
      <c r="X325" s="2"/>
      <c r="Y325" s="2"/>
      <c r="Z325" s="2"/>
      <c r="AA325" s="2"/>
      <c r="AB325" s="2"/>
      <c r="AC325" s="2"/>
      <c r="AD325" s="2"/>
      <c r="AE325" s="2"/>
      <c r="AF325" s="2"/>
    </row>
    <row r="326" spans="1:32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>
        <f ca="1">IFERROR(__xludf.DUMMYFUNCTION("""COMPUTED_VALUE"""),2023)</f>
        <v>2023</v>
      </c>
      <c r="Q326" s="2" t="str">
        <f ca="1">IFERROR(__xludf.DUMMYFUNCTION("""COMPUTED_VALUE"""),"0371")</f>
        <v>0371</v>
      </c>
      <c r="R326" s="2" t="str">
        <f ca="1">IFERROR(__xludf.DUMMYFUNCTION("""COMPUTED_VALUE"""),"06.001.0010.0301.0094.2039.33.90.33")</f>
        <v>06.001.0010.0301.0094.2039.33.90.33</v>
      </c>
      <c r="S326" s="2" t="str">
        <f ca="1">IFERROR(__xludf.DUMMYFUNCTION("""COMPUTED_VALUE"""),"04942")</f>
        <v>04942</v>
      </c>
      <c r="T326" s="2">
        <f ca="1">IFERROR(__xludf.DUMMYFUNCTION("""COMPUTED_VALUE"""),2024)</f>
        <v>2024</v>
      </c>
      <c r="U326" s="2" t="str">
        <f ca="1">IFERROR(__xludf.DUMMYFUNCTION("""COMPUTED_VALUE"""),"0444")</f>
        <v>0444</v>
      </c>
      <c r="V326" s="2" t="str">
        <f ca="1">IFERROR(__xludf.DUMMYFUNCTION("""COMPUTED_VALUE"""),"07.002.0015.0451.0104.1046.44.90.30")</f>
        <v>07.002.0015.0451.0104.1046.44.90.30</v>
      </c>
      <c r="W326" s="2" t="str">
        <f ca="1">IFERROR(__xludf.DUMMYFUNCTION("""COMPUTED_VALUE"""),"5102")</f>
        <v>5102</v>
      </c>
      <c r="X326" s="2"/>
      <c r="Y326" s="2"/>
      <c r="Z326" s="2"/>
      <c r="AA326" s="2"/>
      <c r="AB326" s="2"/>
      <c r="AC326" s="2"/>
      <c r="AD326" s="2"/>
      <c r="AE326" s="2"/>
      <c r="AF326" s="2"/>
    </row>
    <row r="327" spans="1:32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>
        <f ca="1">IFERROR(__xludf.DUMMYFUNCTION("""COMPUTED_VALUE"""),2023)</f>
        <v>2023</v>
      </c>
      <c r="Q327" s="2" t="str">
        <f ca="1">IFERROR(__xludf.DUMMYFUNCTION("""COMPUTED_VALUE"""),"0372")</f>
        <v>0372</v>
      </c>
      <c r="R327" s="2" t="str">
        <f ca="1">IFERROR(__xludf.DUMMYFUNCTION("""COMPUTED_VALUE"""),"06.001.0010.0305.0094.2040.33.90.33")</f>
        <v>06.001.0010.0305.0094.2040.33.90.33</v>
      </c>
      <c r="S327" s="2" t="str">
        <f ca="1">IFERROR(__xludf.DUMMYFUNCTION("""COMPUTED_VALUE"""),"04942")</f>
        <v>04942</v>
      </c>
      <c r="T327" s="2">
        <f ca="1">IFERROR(__xludf.DUMMYFUNCTION("""COMPUTED_VALUE"""),2024)</f>
        <v>2024</v>
      </c>
      <c r="U327" s="2" t="str">
        <f ca="1">IFERROR(__xludf.DUMMYFUNCTION("""COMPUTED_VALUE"""),"0445")</f>
        <v>0445</v>
      </c>
      <c r="V327" s="2" t="str">
        <f ca="1">IFERROR(__xludf.DUMMYFUNCTION("""COMPUTED_VALUE"""),"07.002.0015.0451.0104.1046.44.90.30")</f>
        <v>07.002.0015.0451.0104.1046.44.90.30</v>
      </c>
      <c r="W327" s="2" t="str">
        <f ca="1">IFERROR(__xludf.DUMMYFUNCTION("""COMPUTED_VALUE"""),"5104")</f>
        <v>5104</v>
      </c>
      <c r="X327" s="2"/>
      <c r="Y327" s="2"/>
      <c r="Z327" s="2"/>
      <c r="AA327" s="2"/>
      <c r="AB327" s="2"/>
      <c r="AC327" s="2"/>
      <c r="AD327" s="2"/>
      <c r="AE327" s="2"/>
      <c r="AF327" s="2"/>
    </row>
    <row r="328" spans="1:32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>
        <f ca="1">IFERROR(__xludf.DUMMYFUNCTION("""COMPUTED_VALUE"""),2023)</f>
        <v>2023</v>
      </c>
      <c r="Q328" s="2" t="str">
        <f ca="1">IFERROR(__xludf.DUMMYFUNCTION("""COMPUTED_VALUE"""),"0373")</f>
        <v>0373</v>
      </c>
      <c r="R328" s="2" t="str">
        <f ca="1">IFERROR(__xludf.DUMMYFUNCTION("""COMPUTED_VALUE"""),"06.001.0010.0302.0094.2041.33.90.33")</f>
        <v>06.001.0010.0302.0094.2041.33.90.33</v>
      </c>
      <c r="S328" s="2" t="str">
        <f ca="1">IFERROR(__xludf.DUMMYFUNCTION("""COMPUTED_VALUE"""),"00303")</f>
        <v>00303</v>
      </c>
      <c r="T328" s="2">
        <f ca="1">IFERROR(__xludf.DUMMYFUNCTION("""COMPUTED_VALUE"""),2024)</f>
        <v>2024</v>
      </c>
      <c r="U328" s="2" t="str">
        <f ca="1">IFERROR(__xludf.DUMMYFUNCTION("""COMPUTED_VALUE"""),"1123")</f>
        <v>1123</v>
      </c>
      <c r="V328" s="2" t="str">
        <f ca="1">IFERROR(__xludf.DUMMYFUNCTION("""COMPUTED_VALUE"""),"07.002.0015.0451.0104.1046.44.90.39")</f>
        <v>07.002.0015.0451.0104.1046.44.90.39</v>
      </c>
      <c r="W328" s="2" t="str">
        <f ca="1">IFERROR(__xludf.DUMMYFUNCTION("""COMPUTED_VALUE"""),"5106")</f>
        <v>5106</v>
      </c>
      <c r="X328" s="2"/>
      <c r="Y328" s="2"/>
      <c r="Z328" s="2"/>
      <c r="AA328" s="2"/>
      <c r="AB328" s="2"/>
      <c r="AC328" s="2"/>
      <c r="AD328" s="2"/>
      <c r="AE328" s="2"/>
      <c r="AF328" s="2"/>
    </row>
    <row r="329" spans="1:32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>
        <f ca="1">IFERROR(__xludf.DUMMYFUNCTION("""COMPUTED_VALUE"""),2023)</f>
        <v>2023</v>
      </c>
      <c r="Q329" s="2" t="str">
        <f ca="1">IFERROR(__xludf.DUMMYFUNCTION("""COMPUTED_VALUE"""),"0374")</f>
        <v>0374</v>
      </c>
      <c r="R329" s="2" t="str">
        <f ca="1">IFERROR(__xludf.DUMMYFUNCTION("""COMPUTED_VALUE"""),"06.001.0010.0302.0094.2043.33.90.33")</f>
        <v>06.001.0010.0302.0094.2043.33.90.33</v>
      </c>
      <c r="S329" s="2" t="str">
        <f ca="1">IFERROR(__xludf.DUMMYFUNCTION("""COMPUTED_VALUE"""),"04942")</f>
        <v>04942</v>
      </c>
      <c r="T329" s="2">
        <f ca="1">IFERROR(__xludf.DUMMYFUNCTION("""COMPUTED_VALUE"""),2024)</f>
        <v>2024</v>
      </c>
      <c r="U329" s="2" t="str">
        <f ca="1">IFERROR(__xludf.DUMMYFUNCTION("""COMPUTED_VALUE"""),"0428")</f>
        <v>0428</v>
      </c>
      <c r="V329" s="2" t="str">
        <f ca="1">IFERROR(__xludf.DUMMYFUNCTION("""COMPUTED_VALUE"""),"07.002.0015.0451.0104.1046.44.90.51")</f>
        <v>07.002.0015.0451.0104.1046.44.90.51</v>
      </c>
      <c r="W329" s="2" t="str">
        <f ca="1">IFERROR(__xludf.DUMMYFUNCTION("""COMPUTED_VALUE"""),"0")</f>
        <v>0</v>
      </c>
      <c r="X329" s="2"/>
      <c r="Y329" s="2"/>
      <c r="Z329" s="2"/>
      <c r="AA329" s="2"/>
      <c r="AB329" s="2"/>
      <c r="AC329" s="2"/>
      <c r="AD329" s="2"/>
      <c r="AE329" s="2"/>
      <c r="AF329" s="2"/>
    </row>
    <row r="330" spans="1:32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>
        <f ca="1">IFERROR(__xludf.DUMMYFUNCTION("""COMPUTED_VALUE"""),2023)</f>
        <v>2023</v>
      </c>
      <c r="Q330" s="2" t="str">
        <f ca="1">IFERROR(__xludf.DUMMYFUNCTION("""COMPUTED_VALUE"""),"0375")</f>
        <v>0375</v>
      </c>
      <c r="R330" s="2" t="str">
        <f ca="1">IFERROR(__xludf.DUMMYFUNCTION("""COMPUTED_VALUE"""),"06.001.0010.0304.0094.2046.33.90.33")</f>
        <v>06.001.0010.0304.0094.2046.33.90.33</v>
      </c>
      <c r="S330" s="2" t="str">
        <f ca="1">IFERROR(__xludf.DUMMYFUNCTION("""COMPUTED_VALUE"""),"04942")</f>
        <v>04942</v>
      </c>
      <c r="T330" s="2">
        <f ca="1">IFERROR(__xludf.DUMMYFUNCTION("""COMPUTED_VALUE"""),2024)</f>
        <v>2024</v>
      </c>
      <c r="U330" s="2" t="str">
        <f ca="1">IFERROR(__xludf.DUMMYFUNCTION("""COMPUTED_VALUE"""),"0429")</f>
        <v>0429</v>
      </c>
      <c r="V330" s="2" t="str">
        <f ca="1">IFERROR(__xludf.DUMMYFUNCTION("""COMPUTED_VALUE"""),"07.002.0015.0451.0104.1046.44.90.51")</f>
        <v>07.002.0015.0451.0104.1046.44.90.51</v>
      </c>
      <c r="W330" s="2" t="str">
        <f ca="1">IFERROR(__xludf.DUMMYFUNCTION("""COMPUTED_VALUE"""),"0")</f>
        <v>0</v>
      </c>
      <c r="X330" s="2"/>
      <c r="Y330" s="2"/>
      <c r="Z330" s="2"/>
      <c r="AA330" s="2"/>
      <c r="AB330" s="2"/>
      <c r="AC330" s="2"/>
      <c r="AD330" s="2"/>
      <c r="AE330" s="2"/>
      <c r="AF330" s="2"/>
    </row>
    <row r="331" spans="1:32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>
        <f ca="1">IFERROR(__xludf.DUMMYFUNCTION("""COMPUTED_VALUE"""),2023)</f>
        <v>2023</v>
      </c>
      <c r="Q331" s="2" t="str">
        <f ca="1">IFERROR(__xludf.DUMMYFUNCTION("""COMPUTED_VALUE"""),"0376")</f>
        <v>0376</v>
      </c>
      <c r="R331" s="2" t="str">
        <f ca="1">IFERROR(__xludf.DUMMYFUNCTION("""COMPUTED_VALUE"""),"12.001.0004.0122.0113.2129.33.90.33")</f>
        <v>12.001.0004.0122.0113.2129.33.90.33</v>
      </c>
      <c r="S331" s="2" t="str">
        <f ca="1">IFERROR(__xludf.DUMMYFUNCTION("""COMPUTED_VALUE"""),"0000")</f>
        <v>0000</v>
      </c>
      <c r="T331" s="2">
        <f ca="1">IFERROR(__xludf.DUMMYFUNCTION("""COMPUTED_VALUE"""),2024)</f>
        <v>2024</v>
      </c>
      <c r="U331" s="2" t="str">
        <f ca="1">IFERROR(__xludf.DUMMYFUNCTION("""COMPUTED_VALUE"""),"0441")</f>
        <v>0441</v>
      </c>
      <c r="V331" s="2" t="str">
        <f ca="1">IFERROR(__xludf.DUMMYFUNCTION("""COMPUTED_VALUE"""),"07.002.0015.0451.0104.1046.44.90.93")</f>
        <v>07.002.0015.0451.0104.1046.44.90.93</v>
      </c>
      <c r="W331" s="2" t="str">
        <f ca="1">IFERROR(__xludf.DUMMYFUNCTION("""COMPUTED_VALUE"""),"614")</f>
        <v>614</v>
      </c>
      <c r="X331" s="2"/>
      <c r="Y331" s="2"/>
      <c r="Z331" s="2"/>
      <c r="AA331" s="2"/>
      <c r="AB331" s="2"/>
      <c r="AC331" s="2"/>
      <c r="AD331" s="2"/>
      <c r="AE331" s="2"/>
      <c r="AF331" s="2"/>
    </row>
    <row r="332" spans="1: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>
        <f ca="1">IFERROR(__xludf.DUMMYFUNCTION("""COMPUTED_VALUE"""),2023)</f>
        <v>2023</v>
      </c>
      <c r="Q332" s="2" t="str">
        <f ca="1">IFERROR(__xludf.DUMMYFUNCTION("""COMPUTED_VALUE"""),"0377")</f>
        <v>0377</v>
      </c>
      <c r="R332" s="2" t="str">
        <f ca="1">IFERROR(__xludf.DUMMYFUNCTION("""COMPUTED_VALUE"""),"08.001.0008.0244.0118.2029.33.90.33")</f>
        <v>08.001.0008.0244.0118.2029.33.90.33</v>
      </c>
      <c r="S332" s="2" t="str">
        <f ca="1">IFERROR(__xludf.DUMMYFUNCTION("""COMPUTED_VALUE"""),"0000")</f>
        <v>0000</v>
      </c>
      <c r="T332" s="2">
        <f ca="1">IFERROR(__xludf.DUMMYFUNCTION("""COMPUTED_VALUE"""),2024)</f>
        <v>2024</v>
      </c>
      <c r="U332" s="2" t="str">
        <f ca="1">IFERROR(__xludf.DUMMYFUNCTION("""COMPUTED_VALUE"""),"0430")</f>
        <v>0430</v>
      </c>
      <c r="V332" s="2" t="str">
        <f ca="1">IFERROR(__xludf.DUMMYFUNCTION("""COMPUTED_VALUE"""),"07.002.0015.0451.0104.2134.33.90.30")</f>
        <v>07.002.0015.0451.0104.2134.33.90.30</v>
      </c>
      <c r="W332" s="2" t="str">
        <f ca="1">IFERROR(__xludf.DUMMYFUNCTION("""COMPUTED_VALUE"""),"0")</f>
        <v>0</v>
      </c>
      <c r="X332" s="2"/>
      <c r="Y332" s="2"/>
      <c r="Z332" s="2"/>
      <c r="AA332" s="2"/>
      <c r="AB332" s="2"/>
      <c r="AC332" s="2"/>
      <c r="AD332" s="2"/>
      <c r="AE332" s="2"/>
      <c r="AF332" s="2"/>
    </row>
    <row r="333" spans="1:32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>
        <f ca="1">IFERROR(__xludf.DUMMYFUNCTION("""COMPUTED_VALUE"""),2023)</f>
        <v>2023</v>
      </c>
      <c r="Q333" s="2" t="str">
        <f ca="1">IFERROR(__xludf.DUMMYFUNCTION("""COMPUTED_VALUE"""),"0378")</f>
        <v>0378</v>
      </c>
      <c r="R333" s="2" t="str">
        <f ca="1">IFERROR(__xludf.DUMMYFUNCTION("""COMPUTED_VALUE"""),"08.003.0008.0244.0118.2030.33.90.33")</f>
        <v>08.003.0008.0244.0118.2030.33.90.33</v>
      </c>
      <c r="S333" s="2" t="str">
        <f ca="1">IFERROR(__xludf.DUMMYFUNCTION("""COMPUTED_VALUE"""),"0000")</f>
        <v>0000</v>
      </c>
      <c r="T333" s="2">
        <f ca="1">IFERROR(__xludf.DUMMYFUNCTION("""COMPUTED_VALUE"""),2024)</f>
        <v>2024</v>
      </c>
      <c r="U333" s="2" t="str">
        <f ca="1">IFERROR(__xludf.DUMMYFUNCTION("""COMPUTED_VALUE"""),"0446")</f>
        <v>0446</v>
      </c>
      <c r="V333" s="2" t="str">
        <f ca="1">IFERROR(__xludf.DUMMYFUNCTION("""COMPUTED_VALUE"""),"07.003.0015.0452.0104.1051.33.90.30")</f>
        <v>07.003.0015.0452.0104.1051.33.90.30</v>
      </c>
      <c r="W333" s="2" t="str">
        <f ca="1">IFERROR(__xludf.DUMMYFUNCTION("""COMPUTED_VALUE"""),"0")</f>
        <v>0</v>
      </c>
      <c r="X333" s="2"/>
      <c r="Y333" s="2"/>
      <c r="Z333" s="2"/>
      <c r="AA333" s="2"/>
      <c r="AB333" s="2"/>
      <c r="AC333" s="2"/>
      <c r="AD333" s="2"/>
      <c r="AE333" s="2"/>
      <c r="AF333" s="2"/>
    </row>
    <row r="334" spans="1:32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>
        <f ca="1">IFERROR(__xludf.DUMMYFUNCTION("""COMPUTED_VALUE"""),2023)</f>
        <v>2023</v>
      </c>
      <c r="Q334" s="2" t="str">
        <f ca="1">IFERROR(__xludf.DUMMYFUNCTION("""COMPUTED_VALUE"""),"0379")</f>
        <v>0379</v>
      </c>
      <c r="R334" s="2" t="str">
        <f ca="1">IFERROR(__xludf.DUMMYFUNCTION("""COMPUTED_VALUE"""),"08.003.0008.0244.0118.2030.33.90.33")</f>
        <v>08.003.0008.0244.0118.2030.33.90.33</v>
      </c>
      <c r="S334" s="2" t="str">
        <f ca="1">IFERROR(__xludf.DUMMYFUNCTION("""COMPUTED_VALUE"""),"00936")</f>
        <v>00936</v>
      </c>
      <c r="T334" s="2">
        <f ca="1">IFERROR(__xludf.DUMMYFUNCTION("""COMPUTED_VALUE"""),2024)</f>
        <v>2024</v>
      </c>
      <c r="U334" s="2" t="str">
        <f ca="1">IFERROR(__xludf.DUMMYFUNCTION("""COMPUTED_VALUE"""),"0447")</f>
        <v>0447</v>
      </c>
      <c r="V334" s="2" t="str">
        <f ca="1">IFERROR(__xludf.DUMMYFUNCTION("""COMPUTED_VALUE"""),"07.003.0015.0452.0104.1051.33.90.39")</f>
        <v>07.003.0015.0452.0104.1051.33.90.39</v>
      </c>
      <c r="W334" s="2" t="str">
        <f ca="1">IFERROR(__xludf.DUMMYFUNCTION("""COMPUTED_VALUE"""),"0")</f>
        <v>0</v>
      </c>
      <c r="X334" s="2"/>
      <c r="Y334" s="2"/>
      <c r="Z334" s="2"/>
      <c r="AA334" s="2"/>
      <c r="AB334" s="2"/>
      <c r="AC334" s="2"/>
      <c r="AD334" s="2"/>
      <c r="AE334" s="2"/>
      <c r="AF334" s="2"/>
    </row>
    <row r="335" spans="1:32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>
        <f ca="1">IFERROR(__xludf.DUMMYFUNCTION("""COMPUTED_VALUE"""),2023)</f>
        <v>2023</v>
      </c>
      <c r="Q335" s="2" t="str">
        <f ca="1">IFERROR(__xludf.DUMMYFUNCTION("""COMPUTED_VALUE"""),"0380")</f>
        <v>0380</v>
      </c>
      <c r="R335" s="2" t="str">
        <f ca="1">IFERROR(__xludf.DUMMYFUNCTION("""COMPUTED_VALUE"""),"08.003.0008.0244.0118.2032.33.90.33")</f>
        <v>08.003.0008.0244.0118.2032.33.90.33</v>
      </c>
      <c r="S335" s="2" t="str">
        <f ca="1">IFERROR(__xludf.DUMMYFUNCTION("""COMPUTED_VALUE"""),"0000")</f>
        <v>0000</v>
      </c>
      <c r="T335" s="2">
        <f ca="1">IFERROR(__xludf.DUMMYFUNCTION("""COMPUTED_VALUE"""),2024)</f>
        <v>2024</v>
      </c>
      <c r="U335" s="2" t="str">
        <f ca="1">IFERROR(__xludf.DUMMYFUNCTION("""COMPUTED_VALUE"""),"0448")</f>
        <v>0448</v>
      </c>
      <c r="V335" s="2" t="str">
        <f ca="1">IFERROR(__xludf.DUMMYFUNCTION("""COMPUTED_VALUE"""),"07.003.0015.0452.0104.2135.33.90.30")</f>
        <v>07.003.0015.0452.0104.2135.33.90.30</v>
      </c>
      <c r="W335" s="2" t="str">
        <f ca="1">IFERROR(__xludf.DUMMYFUNCTION("""COMPUTED_VALUE"""),"0")</f>
        <v>0</v>
      </c>
      <c r="X335" s="2"/>
      <c r="Y335" s="2"/>
      <c r="Z335" s="2"/>
      <c r="AA335" s="2"/>
      <c r="AB335" s="2"/>
      <c r="AC335" s="2"/>
      <c r="AD335" s="2"/>
      <c r="AE335" s="2"/>
      <c r="AF335" s="2"/>
    </row>
    <row r="336" spans="1:32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>
        <f ca="1">IFERROR(__xludf.DUMMYFUNCTION("""COMPUTED_VALUE"""),2023)</f>
        <v>2023</v>
      </c>
      <c r="Q336" s="2" t="str">
        <f ca="1">IFERROR(__xludf.DUMMYFUNCTION("""COMPUTED_VALUE"""),"0381")</f>
        <v>0381</v>
      </c>
      <c r="R336" s="2" t="str">
        <f ca="1">IFERROR(__xludf.DUMMYFUNCTION("""COMPUTED_VALUE"""),"08.003.0008.0243.0118.6000.33.90.33")</f>
        <v>08.003.0008.0243.0118.6000.33.90.33</v>
      </c>
      <c r="S336" s="2" t="str">
        <f ca="1">IFERROR(__xludf.DUMMYFUNCTION("""COMPUTED_VALUE"""),"0000")</f>
        <v>0000</v>
      </c>
      <c r="T336" s="2">
        <f ca="1">IFERROR(__xludf.DUMMYFUNCTION("""COMPUTED_VALUE"""),2024)</f>
        <v>2024</v>
      </c>
      <c r="U336" s="2" t="str">
        <f ca="1">IFERROR(__xludf.DUMMYFUNCTION("""COMPUTED_VALUE"""),"0451")</f>
        <v>0451</v>
      </c>
      <c r="V336" s="2" t="str">
        <f ca="1">IFERROR(__xludf.DUMMYFUNCTION("""COMPUTED_VALUE"""),"07.003.0015.0452.0104.2135.33.90.39")</f>
        <v>07.003.0015.0452.0104.2135.33.90.39</v>
      </c>
      <c r="W336" s="2" t="str">
        <f ca="1">IFERROR(__xludf.DUMMYFUNCTION("""COMPUTED_VALUE"""),"0")</f>
        <v>0</v>
      </c>
      <c r="X336" s="2"/>
      <c r="Y336" s="2"/>
      <c r="Z336" s="2"/>
      <c r="AA336" s="2"/>
      <c r="AB336" s="2"/>
      <c r="AC336" s="2"/>
      <c r="AD336" s="2"/>
      <c r="AE336" s="2"/>
      <c r="AF336" s="2"/>
    </row>
    <row r="337" spans="1:32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>
        <f ca="1">IFERROR(__xludf.DUMMYFUNCTION("""COMPUTED_VALUE"""),2023)</f>
        <v>2023</v>
      </c>
      <c r="Q337" s="2" t="str">
        <f ca="1">IFERROR(__xludf.DUMMYFUNCTION("""COMPUTED_VALUE"""),"0382")</f>
        <v>0382</v>
      </c>
      <c r="R337" s="2" t="str">
        <f ca="1">IFERROR(__xludf.DUMMYFUNCTION("""COMPUTED_VALUE"""),"16.001.0015.0451.0122.2085.33.90.33")</f>
        <v>16.001.0015.0451.0122.2085.33.90.33</v>
      </c>
      <c r="S337" s="2" t="str">
        <f ca="1">IFERROR(__xludf.DUMMYFUNCTION("""COMPUTED_VALUE"""),"0000")</f>
        <v>0000</v>
      </c>
      <c r="T337" s="2">
        <f ca="1">IFERROR(__xludf.DUMMYFUNCTION("""COMPUTED_VALUE"""),2024)</f>
        <v>2024</v>
      </c>
      <c r="U337" s="2" t="str">
        <f ca="1">IFERROR(__xludf.DUMMYFUNCTION("""COMPUTED_VALUE"""),"0452")</f>
        <v>0452</v>
      </c>
      <c r="V337" s="2" t="str">
        <f ca="1">IFERROR(__xludf.DUMMYFUNCTION("""COMPUTED_VALUE"""),"07.003.0015.0452.0107.1045.44.90.30")</f>
        <v>07.003.0015.0452.0107.1045.44.90.30</v>
      </c>
      <c r="W337" s="2" t="str">
        <f ca="1">IFERROR(__xludf.DUMMYFUNCTION("""COMPUTED_VALUE"""),"0")</f>
        <v>0</v>
      </c>
      <c r="X337" s="2"/>
      <c r="Y337" s="2"/>
      <c r="Z337" s="2"/>
      <c r="AA337" s="2"/>
      <c r="AB337" s="2"/>
      <c r="AC337" s="2"/>
      <c r="AD337" s="2"/>
      <c r="AE337" s="2"/>
      <c r="AF337" s="2"/>
    </row>
    <row r="338" spans="1:32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>
        <f ca="1">IFERROR(__xludf.DUMMYFUNCTION("""COMPUTED_VALUE"""),2023)</f>
        <v>2023</v>
      </c>
      <c r="Q338" s="2" t="str">
        <f ca="1">IFERROR(__xludf.DUMMYFUNCTION("""COMPUTED_VALUE"""),"0383")</f>
        <v>0383</v>
      </c>
      <c r="R338" s="2" t="str">
        <f ca="1">IFERROR(__xludf.DUMMYFUNCTION("""COMPUTED_VALUE"""),"16.001.0015.0451.0122.2085.33.90.33")</f>
        <v>16.001.0015.0451.0122.2085.33.90.33</v>
      </c>
      <c r="S338" s="2" t="str">
        <f ca="1">IFERROR(__xludf.DUMMYFUNCTION("""COMPUTED_VALUE"""),"05104")</f>
        <v>05104</v>
      </c>
      <c r="T338" s="2">
        <f ca="1">IFERROR(__xludf.DUMMYFUNCTION("""COMPUTED_VALUE"""),2024)</f>
        <v>2024</v>
      </c>
      <c r="U338" s="2" t="str">
        <f ca="1">IFERROR(__xludf.DUMMYFUNCTION("""COMPUTED_VALUE"""),"0456")</f>
        <v>0456</v>
      </c>
      <c r="V338" s="2" t="str">
        <f ca="1">IFERROR(__xludf.DUMMYFUNCTION("""COMPUTED_VALUE"""),"07.003.0015.0452.0107.1045.44.90.30")</f>
        <v>07.003.0015.0452.0107.1045.44.90.30</v>
      </c>
      <c r="W338" s="2" t="str">
        <f ca="1">IFERROR(__xludf.DUMMYFUNCTION("""COMPUTED_VALUE"""),"0")</f>
        <v>0</v>
      </c>
      <c r="X338" s="2"/>
      <c r="Y338" s="2"/>
      <c r="Z338" s="2"/>
      <c r="AA338" s="2"/>
      <c r="AB338" s="2"/>
      <c r="AC338" s="2"/>
      <c r="AD338" s="2"/>
      <c r="AE338" s="2"/>
      <c r="AF338" s="2"/>
    </row>
    <row r="339" spans="1:32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>
        <f ca="1">IFERROR(__xludf.DUMMYFUNCTION("""COMPUTED_VALUE"""),2023)</f>
        <v>2023</v>
      </c>
      <c r="Q339" s="2" t="str">
        <f ca="1">IFERROR(__xludf.DUMMYFUNCTION("""COMPUTED_VALUE"""),"0384")</f>
        <v>0384</v>
      </c>
      <c r="R339" s="2" t="str">
        <f ca="1">IFERROR(__xludf.DUMMYFUNCTION("""COMPUTED_VALUE"""),"10.001.0004.0122.0123.2109.33.90.33")</f>
        <v>10.001.0004.0122.0123.2109.33.90.33</v>
      </c>
      <c r="S339" s="2" t="str">
        <f ca="1">IFERROR(__xludf.DUMMYFUNCTION("""COMPUTED_VALUE"""),"0000")</f>
        <v>0000</v>
      </c>
      <c r="T339" s="2">
        <f ca="1">IFERROR(__xludf.DUMMYFUNCTION("""COMPUTED_VALUE"""),2024)</f>
        <v>2024</v>
      </c>
      <c r="U339" s="2" t="str">
        <f ca="1">IFERROR(__xludf.DUMMYFUNCTION("""COMPUTED_VALUE"""),"0459")</f>
        <v>0459</v>
      </c>
      <c r="V339" s="2" t="str">
        <f ca="1">IFERROR(__xludf.DUMMYFUNCTION("""COMPUTED_VALUE"""),"07.003.0015.0452.0107.1045.44.90.39")</f>
        <v>07.003.0015.0452.0107.1045.44.90.39</v>
      </c>
      <c r="W339" s="2" t="str">
        <f ca="1">IFERROR(__xludf.DUMMYFUNCTION("""COMPUTED_VALUE"""),"507")</f>
        <v>507</v>
      </c>
      <c r="X339" s="2"/>
      <c r="Y339" s="2"/>
      <c r="Z339" s="2"/>
      <c r="AA339" s="2"/>
      <c r="AB339" s="2"/>
      <c r="AC339" s="2"/>
      <c r="AD339" s="2"/>
      <c r="AE339" s="2"/>
      <c r="AF339" s="2"/>
    </row>
    <row r="340" spans="1:32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>
        <f ca="1">IFERROR(__xludf.DUMMYFUNCTION("""COMPUTED_VALUE"""),2023)</f>
        <v>2023</v>
      </c>
      <c r="Q340" s="2" t="str">
        <f ca="1">IFERROR(__xludf.DUMMYFUNCTION("""COMPUTED_VALUE"""),"0386")</f>
        <v>0386</v>
      </c>
      <c r="R340" s="2" t="str">
        <f ca="1">IFERROR(__xludf.DUMMYFUNCTION("""COMPUTED_VALUE"""),"18.001.0004.0121.0140.2023.33.90.33")</f>
        <v>18.001.0004.0121.0140.2023.33.90.33</v>
      </c>
      <c r="S340" s="2" t="str">
        <f ca="1">IFERROR(__xludf.DUMMYFUNCTION("""COMPUTED_VALUE"""),"0000")</f>
        <v>0000</v>
      </c>
      <c r="T340" s="2">
        <f ca="1">IFERROR(__xludf.DUMMYFUNCTION("""COMPUTED_VALUE"""),2024)</f>
        <v>2024</v>
      </c>
      <c r="U340" s="2" t="str">
        <f ca="1">IFERROR(__xludf.DUMMYFUNCTION("""COMPUTED_VALUE"""),"0457")</f>
        <v>0457</v>
      </c>
      <c r="V340" s="2" t="str">
        <f ca="1">IFERROR(__xludf.DUMMYFUNCTION("""COMPUTED_VALUE"""),"07.003.0015.0452.0107.1045.44.90.39")</f>
        <v>07.003.0015.0452.0107.1045.44.90.39</v>
      </c>
      <c r="W340" s="2" t="str">
        <f ca="1">IFERROR(__xludf.DUMMYFUNCTION("""COMPUTED_VALUE"""),"0")</f>
        <v>0</v>
      </c>
      <c r="X340" s="2"/>
      <c r="Y340" s="2"/>
      <c r="Z340" s="2"/>
      <c r="AA340" s="2"/>
      <c r="AB340" s="2"/>
      <c r="AC340" s="2"/>
      <c r="AD340" s="2"/>
      <c r="AE340" s="2"/>
      <c r="AF340" s="2"/>
    </row>
    <row r="341" spans="1:32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>
        <f ca="1">IFERROR(__xludf.DUMMYFUNCTION("""COMPUTED_VALUE"""),2023)</f>
        <v>2023</v>
      </c>
      <c r="Q341" s="2" t="str">
        <f ca="1">IFERROR(__xludf.DUMMYFUNCTION("""COMPUTED_VALUE"""),"0387")</f>
        <v>0387</v>
      </c>
      <c r="R341" s="2" t="str">
        <f ca="1">IFERROR(__xludf.DUMMYFUNCTION("""COMPUTED_VALUE"""),"18.002.0006.0181.0140.2024.33.90.33")</f>
        <v>18.002.0006.0181.0140.2024.33.90.33</v>
      </c>
      <c r="S341" s="2" t="str">
        <f ca="1">IFERROR(__xludf.DUMMYFUNCTION("""COMPUTED_VALUE"""),"0000")</f>
        <v>0000</v>
      </c>
      <c r="T341" s="2">
        <f ca="1">IFERROR(__xludf.DUMMYFUNCTION("""COMPUTED_VALUE"""),2024)</f>
        <v>2024</v>
      </c>
      <c r="U341" s="2" t="str">
        <f ca="1">IFERROR(__xludf.DUMMYFUNCTION("""COMPUTED_VALUE"""),"0460")</f>
        <v>0460</v>
      </c>
      <c r="V341" s="2" t="str">
        <f ca="1">IFERROR(__xludf.DUMMYFUNCTION("""COMPUTED_VALUE"""),"07.003.0015.0452.0107.1045.44.90.52")</f>
        <v>07.003.0015.0452.0107.1045.44.90.52</v>
      </c>
      <c r="W341" s="2" t="str">
        <f ca="1">IFERROR(__xludf.DUMMYFUNCTION("""COMPUTED_VALUE"""),"507")</f>
        <v>507</v>
      </c>
      <c r="X341" s="2"/>
      <c r="Y341" s="2"/>
      <c r="Z341" s="2"/>
      <c r="AA341" s="2"/>
      <c r="AB341" s="2"/>
      <c r="AC341" s="2"/>
      <c r="AD341" s="2"/>
      <c r="AE341" s="2"/>
      <c r="AF341" s="2"/>
    </row>
    <row r="342" spans="1:3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>
        <f ca="1">IFERROR(__xludf.DUMMYFUNCTION("""COMPUTED_VALUE"""),2023)</f>
        <v>2023</v>
      </c>
      <c r="Q342" s="2" t="str">
        <f ca="1">IFERROR(__xludf.DUMMYFUNCTION("""COMPUTED_VALUE"""),"0388")</f>
        <v>0388</v>
      </c>
      <c r="R342" s="2" t="str">
        <f ca="1">IFERROR(__xludf.DUMMYFUNCTION("""COMPUTED_VALUE"""),"18.002.0006.0181.0140.2024.33.90.33")</f>
        <v>18.002.0006.0181.0140.2024.33.90.33</v>
      </c>
      <c r="S342" s="2" t="str">
        <f ca="1">IFERROR(__xludf.DUMMYFUNCTION("""COMPUTED_VALUE"""),"01011")</f>
        <v>01011</v>
      </c>
      <c r="T342" s="2">
        <f ca="1">IFERROR(__xludf.DUMMYFUNCTION("""COMPUTED_VALUE"""),2024)</f>
        <v>2024</v>
      </c>
      <c r="U342" s="2" t="str">
        <f ca="1">IFERROR(__xludf.DUMMYFUNCTION("""COMPUTED_VALUE"""),"0461")</f>
        <v>0461</v>
      </c>
      <c r="V342" s="2" t="str">
        <f ca="1">IFERROR(__xludf.DUMMYFUNCTION("""COMPUTED_VALUE"""),"07.003.0015.0452.0107.2133.31.90.11")</f>
        <v>07.003.0015.0452.0107.2133.31.90.11</v>
      </c>
      <c r="W342" s="2" t="str">
        <f ca="1">IFERROR(__xludf.DUMMYFUNCTION("""COMPUTED_VALUE"""),"507")</f>
        <v>507</v>
      </c>
      <c r="X342" s="2"/>
      <c r="Y342" s="2"/>
      <c r="Z342" s="2"/>
      <c r="AA342" s="2"/>
      <c r="AB342" s="2"/>
      <c r="AC342" s="2"/>
      <c r="AD342" s="2"/>
      <c r="AE342" s="2"/>
      <c r="AF342" s="2"/>
    </row>
    <row r="343" spans="1:32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>
        <f ca="1">IFERROR(__xludf.DUMMYFUNCTION("""COMPUTED_VALUE"""),2023)</f>
        <v>2023</v>
      </c>
      <c r="Q343" s="2" t="str">
        <f ca="1">IFERROR(__xludf.DUMMYFUNCTION("""COMPUTED_VALUE"""),"0389")</f>
        <v>0389</v>
      </c>
      <c r="R343" s="2" t="str">
        <f ca="1">IFERROR(__xludf.DUMMYFUNCTION("""COMPUTED_VALUE"""),"18.002.0006.0182.0140.2025.33.90.33")</f>
        <v>18.002.0006.0182.0140.2025.33.90.33</v>
      </c>
      <c r="S343" s="2" t="str">
        <f ca="1">IFERROR(__xludf.DUMMYFUNCTION("""COMPUTED_VALUE"""),"0000")</f>
        <v>0000</v>
      </c>
      <c r="T343" s="2">
        <f ca="1">IFERROR(__xludf.DUMMYFUNCTION("""COMPUTED_VALUE"""),2024)</f>
        <v>2024</v>
      </c>
      <c r="U343" s="2" t="str">
        <f ca="1">IFERROR(__xludf.DUMMYFUNCTION("""COMPUTED_VALUE"""),"0465")</f>
        <v>0465</v>
      </c>
      <c r="V343" s="2" t="str">
        <f ca="1">IFERROR(__xludf.DUMMYFUNCTION("""COMPUTED_VALUE"""),"07.003.0015.0452.0107.2133.31.91.13")</f>
        <v>07.003.0015.0452.0107.2133.31.91.13</v>
      </c>
      <c r="W343" s="2" t="str">
        <f ca="1">IFERROR(__xludf.DUMMYFUNCTION("""COMPUTED_VALUE"""),"507")</f>
        <v>507</v>
      </c>
      <c r="X343" s="2"/>
      <c r="Y343" s="2"/>
      <c r="Z343" s="2"/>
      <c r="AA343" s="2"/>
      <c r="AB343" s="2"/>
      <c r="AC343" s="2"/>
      <c r="AD343" s="2"/>
      <c r="AE343" s="2"/>
      <c r="AF343" s="2"/>
    </row>
    <row r="344" spans="1:32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>
        <f ca="1">IFERROR(__xludf.DUMMYFUNCTION("""COMPUTED_VALUE"""),2023)</f>
        <v>2023</v>
      </c>
      <c r="Q344" s="2" t="str">
        <f ca="1">IFERROR(__xludf.DUMMYFUNCTION("""COMPUTED_VALUE"""),"0390")</f>
        <v>0390</v>
      </c>
      <c r="R344" s="2" t="str">
        <f ca="1">IFERROR(__xludf.DUMMYFUNCTION("""COMPUTED_VALUE"""),"18.003.0015.0452.0140.2027.33.90.33")</f>
        <v>18.003.0015.0452.0140.2027.33.90.33</v>
      </c>
      <c r="S344" s="2" t="str">
        <f ca="1">IFERROR(__xludf.DUMMYFUNCTION("""COMPUTED_VALUE"""),"0000")</f>
        <v>0000</v>
      </c>
      <c r="T344" s="2">
        <f ca="1">IFERROR(__xludf.DUMMYFUNCTION("""COMPUTED_VALUE"""),2024)</f>
        <v>2024</v>
      </c>
      <c r="U344" s="2" t="str">
        <f ca="1">IFERROR(__xludf.DUMMYFUNCTION("""COMPUTED_VALUE"""),"0466")</f>
        <v>0466</v>
      </c>
      <c r="V344" s="2" t="str">
        <f ca="1">IFERROR(__xludf.DUMMYFUNCTION("""COMPUTED_VALUE"""),"07.003.0015.0452.0107.2133.33.90.30")</f>
        <v>07.003.0015.0452.0107.2133.33.90.30</v>
      </c>
      <c r="W344" s="2" t="str">
        <f ca="1">IFERROR(__xludf.DUMMYFUNCTION("""COMPUTED_VALUE"""),"507")</f>
        <v>507</v>
      </c>
      <c r="X344" s="2"/>
      <c r="Y344" s="2"/>
      <c r="Z344" s="2"/>
      <c r="AA344" s="2"/>
      <c r="AB344" s="2"/>
      <c r="AC344" s="2"/>
      <c r="AD344" s="2"/>
      <c r="AE344" s="2"/>
      <c r="AF344" s="2"/>
    </row>
    <row r="345" spans="1:32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>
        <f ca="1">IFERROR(__xludf.DUMMYFUNCTION("""COMPUTED_VALUE"""),2023)</f>
        <v>2023</v>
      </c>
      <c r="Q345" s="2" t="str">
        <f ca="1">IFERROR(__xludf.DUMMYFUNCTION("""COMPUTED_VALUE"""),"0391")</f>
        <v>0391</v>
      </c>
      <c r="R345" s="2" t="str">
        <f ca="1">IFERROR(__xludf.DUMMYFUNCTION("""COMPUTED_VALUE"""),"18.003.0015.0452.0140.2027.33.90.33")</f>
        <v>18.003.0015.0452.0140.2027.33.90.33</v>
      </c>
      <c r="S345" s="2" t="str">
        <f ca="1">IFERROR(__xludf.DUMMYFUNCTION("""COMPUTED_VALUE"""),"00509")</f>
        <v>00509</v>
      </c>
      <c r="T345" s="2">
        <f ca="1">IFERROR(__xludf.DUMMYFUNCTION("""COMPUTED_VALUE"""),2024)</f>
        <v>2024</v>
      </c>
      <c r="U345" s="2" t="str">
        <f ca="1">IFERROR(__xludf.DUMMYFUNCTION("""COMPUTED_VALUE"""),"0462")</f>
        <v>0462</v>
      </c>
      <c r="V345" s="2" t="str">
        <f ca="1">IFERROR(__xludf.DUMMYFUNCTION("""COMPUTED_VALUE"""),"07.003.0015.0452.0107.2133.33.90.30")</f>
        <v>07.003.0015.0452.0107.2133.33.90.30</v>
      </c>
      <c r="W345" s="2" t="str">
        <f ca="1">IFERROR(__xludf.DUMMYFUNCTION("""COMPUTED_VALUE"""),"0")</f>
        <v>0</v>
      </c>
      <c r="X345" s="2"/>
      <c r="Y345" s="2"/>
      <c r="Z345" s="2"/>
      <c r="AA345" s="2"/>
      <c r="AB345" s="2"/>
      <c r="AC345" s="2"/>
      <c r="AD345" s="2"/>
      <c r="AE345" s="2"/>
      <c r="AF345" s="2"/>
    </row>
    <row r="346" spans="1:32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>
        <f ca="1">IFERROR(__xludf.DUMMYFUNCTION("""COMPUTED_VALUE"""),2023)</f>
        <v>2023</v>
      </c>
      <c r="Q346" s="2" t="str">
        <f ca="1">IFERROR(__xludf.DUMMYFUNCTION("""COMPUTED_VALUE"""),"0392")</f>
        <v>0392</v>
      </c>
      <c r="R346" s="2" t="str">
        <f ca="1">IFERROR(__xludf.DUMMYFUNCTION("""COMPUTED_VALUE"""),"18.004.0006.0181.0140.2142.33.90.33")</f>
        <v>18.004.0006.0181.0140.2142.33.90.33</v>
      </c>
      <c r="S346" s="2" t="str">
        <f ca="1">IFERROR(__xludf.DUMMYFUNCTION("""COMPUTED_VALUE"""),"0000")</f>
        <v>0000</v>
      </c>
      <c r="T346" s="2">
        <f ca="1">IFERROR(__xludf.DUMMYFUNCTION("""COMPUTED_VALUE"""),2024)</f>
        <v>2024</v>
      </c>
      <c r="U346" s="2" t="str">
        <f ca="1">IFERROR(__xludf.DUMMYFUNCTION("""COMPUTED_VALUE"""),"0467")</f>
        <v>0467</v>
      </c>
      <c r="V346" s="2" t="str">
        <f ca="1">IFERROR(__xludf.DUMMYFUNCTION("""COMPUTED_VALUE"""),"07.003.0015.0452.0107.2133.33.90.39")</f>
        <v>07.003.0015.0452.0107.2133.33.90.39</v>
      </c>
      <c r="W346" s="2" t="str">
        <f ca="1">IFERROR(__xludf.DUMMYFUNCTION("""COMPUTED_VALUE"""),"507")</f>
        <v>507</v>
      </c>
      <c r="X346" s="2"/>
      <c r="Y346" s="2"/>
      <c r="Z346" s="2"/>
      <c r="AA346" s="2"/>
      <c r="AB346" s="2"/>
      <c r="AC346" s="2"/>
      <c r="AD346" s="2"/>
      <c r="AE346" s="2"/>
      <c r="AF346" s="2"/>
    </row>
    <row r="347" spans="1:32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>
        <f ca="1">IFERROR(__xludf.DUMMYFUNCTION("""COMPUTED_VALUE"""),2023)</f>
        <v>2023</v>
      </c>
      <c r="Q347" s="2" t="str">
        <f ca="1">IFERROR(__xludf.DUMMYFUNCTION("""COMPUTED_VALUE"""),"0393")</f>
        <v>0393</v>
      </c>
      <c r="R347" s="2" t="str">
        <f ca="1">IFERROR(__xludf.DUMMYFUNCTION("""COMPUTED_VALUE"""),"18.004.0006.0182.0140.2143.33.90.33")</f>
        <v>18.004.0006.0182.0140.2143.33.90.33</v>
      </c>
      <c r="S347" s="2" t="str">
        <f ca="1">IFERROR(__xludf.DUMMYFUNCTION("""COMPUTED_VALUE"""),"0000")</f>
        <v>0000</v>
      </c>
      <c r="T347" s="2">
        <f ca="1">IFERROR(__xludf.DUMMYFUNCTION("""COMPUTED_VALUE"""),2024)</f>
        <v>2024</v>
      </c>
      <c r="U347" s="2" t="str">
        <f ca="1">IFERROR(__xludf.DUMMYFUNCTION("""COMPUTED_VALUE"""),"0468")</f>
        <v>0468</v>
      </c>
      <c r="V347" s="2" t="str">
        <f ca="1">IFERROR(__xludf.DUMMYFUNCTION("""COMPUTED_VALUE"""),"07.003.0015.0452.0107.2133.33.90.47")</f>
        <v>07.003.0015.0452.0107.2133.33.90.47</v>
      </c>
      <c r="W347" s="2" t="str">
        <f ca="1">IFERROR(__xludf.DUMMYFUNCTION("""COMPUTED_VALUE"""),"507")</f>
        <v>507</v>
      </c>
      <c r="X347" s="2"/>
      <c r="Y347" s="2"/>
      <c r="Z347" s="2"/>
      <c r="AA347" s="2"/>
      <c r="AB347" s="2"/>
      <c r="AC347" s="2"/>
      <c r="AD347" s="2"/>
      <c r="AE347" s="2"/>
      <c r="AF347" s="2"/>
    </row>
    <row r="348" spans="1:32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>
        <f ca="1">IFERROR(__xludf.DUMMYFUNCTION("""COMPUTED_VALUE"""),2023)</f>
        <v>2023</v>
      </c>
      <c r="Q348" s="2" t="str">
        <f ca="1">IFERROR(__xludf.DUMMYFUNCTION("""COMPUTED_VALUE"""),"0394")</f>
        <v>0394</v>
      </c>
      <c r="R348" s="2" t="str">
        <f ca="1">IFERROR(__xludf.DUMMYFUNCTION("""COMPUTED_VALUE"""),"18.004.0015.0452.0140.2145.33.90.33")</f>
        <v>18.004.0015.0452.0140.2145.33.90.33</v>
      </c>
      <c r="S348" s="2" t="str">
        <f ca="1">IFERROR(__xludf.DUMMYFUNCTION("""COMPUTED_VALUE"""),"0000")</f>
        <v>0000</v>
      </c>
      <c r="T348" s="2">
        <f ca="1">IFERROR(__xludf.DUMMYFUNCTION("""COMPUTED_VALUE"""),2024)</f>
        <v>2024</v>
      </c>
      <c r="U348" s="2" t="str">
        <f ca="1">IFERROR(__xludf.DUMMYFUNCTION("""COMPUTED_VALUE"""),"0469")</f>
        <v>0469</v>
      </c>
      <c r="V348" s="2" t="str">
        <f ca="1">IFERROR(__xludf.DUMMYFUNCTION("""COMPUTED_VALUE"""),"07.005.0015.0452.0104.1044.44.90.52")</f>
        <v>07.005.0015.0452.0104.1044.44.90.52</v>
      </c>
      <c r="W348" s="2" t="str">
        <f ca="1">IFERROR(__xludf.DUMMYFUNCTION("""COMPUTED_VALUE"""),"507")</f>
        <v>507</v>
      </c>
      <c r="X348" s="2"/>
      <c r="Y348" s="2"/>
      <c r="Z348" s="2"/>
      <c r="AA348" s="2"/>
      <c r="AB348" s="2"/>
      <c r="AC348" s="2"/>
      <c r="AD348" s="2"/>
      <c r="AE348" s="2"/>
      <c r="AF348" s="2"/>
    </row>
    <row r="349" spans="1:32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>
        <f ca="1">IFERROR(__xludf.DUMMYFUNCTION("""COMPUTED_VALUE"""),2023)</f>
        <v>2023</v>
      </c>
      <c r="Q349" s="2" t="str">
        <f ca="1">IFERROR(__xludf.DUMMYFUNCTION("""COMPUTED_VALUE"""),"0395")</f>
        <v>0395</v>
      </c>
      <c r="R349" s="2" t="str">
        <f ca="1">IFERROR(__xludf.DUMMYFUNCTION("""COMPUTED_VALUE"""),"02.001.0004.0121.0022.2104.33.90.35")</f>
        <v>02.001.0004.0121.0022.2104.33.90.35</v>
      </c>
      <c r="S349" s="2" t="str">
        <f ca="1">IFERROR(__xludf.DUMMYFUNCTION("""COMPUTED_VALUE"""),"0000")</f>
        <v>0000</v>
      </c>
      <c r="T349" s="2">
        <f ca="1">IFERROR(__xludf.DUMMYFUNCTION("""COMPUTED_VALUE"""),2024)</f>
        <v>2024</v>
      </c>
      <c r="U349" s="2" t="str">
        <f ca="1">IFERROR(__xludf.DUMMYFUNCTION("""COMPUTED_VALUE"""),"0470")</f>
        <v>0470</v>
      </c>
      <c r="V349" s="2" t="str">
        <f ca="1">IFERROR(__xludf.DUMMYFUNCTION("""COMPUTED_VALUE"""),"07.005.0015.0452.0104.2132.33.90.30")</f>
        <v>07.005.0015.0452.0104.2132.33.90.30</v>
      </c>
      <c r="W349" s="2" t="str">
        <f ca="1">IFERROR(__xludf.DUMMYFUNCTION("""COMPUTED_VALUE"""),"0")</f>
        <v>0</v>
      </c>
      <c r="X349" s="2"/>
      <c r="Y349" s="2"/>
      <c r="Z349" s="2"/>
      <c r="AA349" s="2"/>
      <c r="AB349" s="2"/>
      <c r="AC349" s="2"/>
      <c r="AD349" s="2"/>
      <c r="AE349" s="2"/>
      <c r="AF349" s="2"/>
    </row>
    <row r="350" spans="1:32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>
        <f ca="1">IFERROR(__xludf.DUMMYFUNCTION("""COMPUTED_VALUE"""),2023)</f>
        <v>2023</v>
      </c>
      <c r="Q350" s="2" t="str">
        <f ca="1">IFERROR(__xludf.DUMMYFUNCTION("""COMPUTED_VALUE"""),"0396")</f>
        <v>0396</v>
      </c>
      <c r="R350" s="2" t="str">
        <f ca="1">IFERROR(__xludf.DUMMYFUNCTION("""COMPUTED_VALUE"""),"03.001.0004.0122.0030.2033.33.90.35")</f>
        <v>03.001.0004.0122.0030.2033.33.90.35</v>
      </c>
      <c r="S350" s="2" t="str">
        <f ca="1">IFERROR(__xludf.DUMMYFUNCTION("""COMPUTED_VALUE"""),"0000")</f>
        <v>0000</v>
      </c>
      <c r="T350" s="2">
        <f ca="1">IFERROR(__xludf.DUMMYFUNCTION("""COMPUTED_VALUE"""),2024)</f>
        <v>2024</v>
      </c>
      <c r="U350" s="2" t="str">
        <f ca="1">IFERROR(__xludf.DUMMYFUNCTION("""COMPUTED_VALUE"""),"0472")</f>
        <v>0472</v>
      </c>
      <c r="V350" s="2" t="str">
        <f ca="1">IFERROR(__xludf.DUMMYFUNCTION("""COMPUTED_VALUE"""),"07.005.0015.0452.0104.2132.33.90.39")</f>
        <v>07.005.0015.0452.0104.2132.33.90.39</v>
      </c>
      <c r="W350" s="2" t="str">
        <f ca="1">IFERROR(__xludf.DUMMYFUNCTION("""COMPUTED_VALUE"""),"0")</f>
        <v>0</v>
      </c>
      <c r="X350" s="2"/>
      <c r="Y350" s="2"/>
      <c r="Z350" s="2"/>
      <c r="AA350" s="2"/>
      <c r="AB350" s="2"/>
      <c r="AC350" s="2"/>
      <c r="AD350" s="2"/>
      <c r="AE350" s="2"/>
      <c r="AF350" s="2"/>
    </row>
    <row r="351" spans="1:32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>
        <f ca="1">IFERROR(__xludf.DUMMYFUNCTION("""COMPUTED_VALUE"""),2023)</f>
        <v>2023</v>
      </c>
      <c r="Q351" s="2" t="str">
        <f ca="1">IFERROR(__xludf.DUMMYFUNCTION("""COMPUTED_VALUE"""),"0397")</f>
        <v>0397</v>
      </c>
      <c r="R351" s="2" t="str">
        <f ca="1">IFERROR(__xludf.DUMMYFUNCTION("""COMPUTED_VALUE"""),"04.001.0004.0122.0040.2001.33.90.35")</f>
        <v>04.001.0004.0122.0040.2001.33.90.35</v>
      </c>
      <c r="S351" s="2" t="str">
        <f ca="1">IFERROR(__xludf.DUMMYFUNCTION("""COMPUTED_VALUE"""),"0000")</f>
        <v>0000</v>
      </c>
      <c r="T351" s="2">
        <f ca="1">IFERROR(__xludf.DUMMYFUNCTION("""COMPUTED_VALUE"""),2024)</f>
        <v>2024</v>
      </c>
      <c r="U351" s="2" t="str">
        <f ca="1">IFERROR(__xludf.DUMMYFUNCTION("""COMPUTED_VALUE"""),"0473")</f>
        <v>0473</v>
      </c>
      <c r="V351" s="2" t="str">
        <f ca="1">IFERROR(__xludf.DUMMYFUNCTION("""COMPUTED_VALUE"""),"07.007.0015.0452.0104.1052.44.90.51")</f>
        <v>07.007.0015.0452.0104.1052.44.90.51</v>
      </c>
      <c r="W351" s="2" t="str">
        <f ca="1">IFERROR(__xludf.DUMMYFUNCTION("""COMPUTED_VALUE"""),"0")</f>
        <v>0</v>
      </c>
      <c r="X351" s="2"/>
      <c r="Y351" s="2"/>
      <c r="Z351" s="2"/>
      <c r="AA351" s="2"/>
      <c r="AB351" s="2"/>
      <c r="AC351" s="2"/>
      <c r="AD351" s="2"/>
      <c r="AE351" s="2"/>
      <c r="AF351" s="2"/>
    </row>
    <row r="352" spans="1:3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>
        <f ca="1">IFERROR(__xludf.DUMMYFUNCTION("""COMPUTED_VALUE"""),2023)</f>
        <v>2023</v>
      </c>
      <c r="Q352" s="2" t="str">
        <f ca="1">IFERROR(__xludf.DUMMYFUNCTION("""COMPUTED_VALUE"""),"0398")</f>
        <v>0398</v>
      </c>
      <c r="R352" s="2" t="str">
        <f ca="1">IFERROR(__xludf.DUMMYFUNCTION("""COMPUTED_VALUE"""),"05.001.0012.0361.0074.6018.33.90.35")</f>
        <v>05.001.0012.0361.0074.6018.33.90.35</v>
      </c>
      <c r="S352" s="2" t="str">
        <f ca="1">IFERROR(__xludf.DUMMYFUNCTION("""COMPUTED_VALUE"""),"00104")</f>
        <v>00104</v>
      </c>
      <c r="T352" s="2">
        <f ca="1">IFERROR(__xludf.DUMMYFUNCTION("""COMPUTED_VALUE"""),2024)</f>
        <v>2024</v>
      </c>
      <c r="U352" s="2" t="str">
        <f ca="1">IFERROR(__xludf.DUMMYFUNCTION("""COMPUTED_VALUE"""),"0482")</f>
        <v>0482</v>
      </c>
      <c r="V352" s="2" t="str">
        <f ca="1">IFERROR(__xludf.DUMMYFUNCTION("""COMPUTED_VALUE"""),"07.007.0015.0452.0104.1052.44.90.51")</f>
        <v>07.007.0015.0452.0104.1052.44.90.51</v>
      </c>
      <c r="W352" s="2" t="str">
        <f ca="1">IFERROR(__xludf.DUMMYFUNCTION("""COMPUTED_VALUE"""),"0")</f>
        <v>0</v>
      </c>
      <c r="X352" s="2"/>
      <c r="Y352" s="2"/>
      <c r="Z352" s="2"/>
      <c r="AA352" s="2"/>
      <c r="AB352" s="2"/>
      <c r="AC352" s="2"/>
      <c r="AD352" s="2"/>
      <c r="AE352" s="2"/>
      <c r="AF352" s="2"/>
    </row>
    <row r="353" spans="1:32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>
        <f ca="1">IFERROR(__xludf.DUMMYFUNCTION("""COMPUTED_VALUE"""),2023)</f>
        <v>2023</v>
      </c>
      <c r="Q353" s="2" t="str">
        <f ca="1">IFERROR(__xludf.DUMMYFUNCTION("""COMPUTED_VALUE"""),"0399")</f>
        <v>0399</v>
      </c>
      <c r="R353" s="2" t="str">
        <f ca="1">IFERROR(__xludf.DUMMYFUNCTION("""COMPUTED_VALUE"""),"12.005.0020.0605.0113.2122.33.90.35")</f>
        <v>12.005.0020.0605.0113.2122.33.90.35</v>
      </c>
      <c r="S353" s="2" t="str">
        <f ca="1">IFERROR(__xludf.DUMMYFUNCTION("""COMPUTED_VALUE"""),"0000")</f>
        <v>0000</v>
      </c>
      <c r="T353" s="2">
        <f ca="1">IFERROR(__xludf.DUMMYFUNCTION("""COMPUTED_VALUE"""),2024)</f>
        <v>2024</v>
      </c>
      <c r="U353" s="2" t="str">
        <f ca="1">IFERROR(__xludf.DUMMYFUNCTION("""COMPUTED_VALUE"""),"0484")</f>
        <v>0484</v>
      </c>
      <c r="V353" s="2" t="str">
        <f ca="1">IFERROR(__xludf.DUMMYFUNCTION("""COMPUTED_VALUE"""),"07.007.0015.0452.0104.1052.44.90.93")</f>
        <v>07.007.0015.0452.0104.1052.44.90.93</v>
      </c>
      <c r="W353" s="2" t="str">
        <f ca="1">IFERROR(__xludf.DUMMYFUNCTION("""COMPUTED_VALUE"""),"735")</f>
        <v>735</v>
      </c>
      <c r="X353" s="2"/>
      <c r="Y353" s="2"/>
      <c r="Z353" s="2"/>
      <c r="AA353" s="2"/>
      <c r="AB353" s="2"/>
      <c r="AC353" s="2"/>
      <c r="AD353" s="2"/>
      <c r="AE353" s="2"/>
      <c r="AF353" s="2"/>
    </row>
    <row r="354" spans="1:32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>
        <f ca="1">IFERROR(__xludf.DUMMYFUNCTION("""COMPUTED_VALUE"""),2023)</f>
        <v>2023</v>
      </c>
      <c r="Q354" s="2" t="str">
        <f ca="1">IFERROR(__xludf.DUMMYFUNCTION("""COMPUTED_VALUE"""),"0400")</f>
        <v>0400</v>
      </c>
      <c r="R354" s="2" t="str">
        <f ca="1">IFERROR(__xludf.DUMMYFUNCTION("""COMPUTED_VALUE"""),"12.004.0022.0661.0113.2127.33.90.35")</f>
        <v>12.004.0022.0661.0113.2127.33.90.35</v>
      </c>
      <c r="S354" s="2" t="str">
        <f ca="1">IFERROR(__xludf.DUMMYFUNCTION("""COMPUTED_VALUE"""),"0000")</f>
        <v>0000</v>
      </c>
      <c r="T354" s="2">
        <f ca="1">IFERROR(__xludf.DUMMYFUNCTION("""COMPUTED_VALUE"""),2024)</f>
        <v>2024</v>
      </c>
      <c r="U354" s="2" t="str">
        <f ca="1">IFERROR(__xludf.DUMMYFUNCTION("""COMPUTED_VALUE"""),"0483")</f>
        <v>0483</v>
      </c>
      <c r="V354" s="2" t="str">
        <f ca="1">IFERROR(__xludf.DUMMYFUNCTION("""COMPUTED_VALUE"""),"07.007.0015.0452.0104.1053.33.90.39")</f>
        <v>07.007.0015.0452.0104.1053.33.90.39</v>
      </c>
      <c r="W354" s="2" t="str">
        <f ca="1">IFERROR(__xludf.DUMMYFUNCTION("""COMPUTED_VALUE"""),"0")</f>
        <v>0</v>
      </c>
      <c r="X354" s="2"/>
      <c r="Y354" s="2"/>
      <c r="Z354" s="2"/>
      <c r="AA354" s="2"/>
      <c r="AB354" s="2"/>
      <c r="AC354" s="2"/>
      <c r="AD354" s="2"/>
      <c r="AE354" s="2"/>
      <c r="AF354" s="2"/>
    </row>
    <row r="355" spans="1:32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>
        <f ca="1">IFERROR(__xludf.DUMMYFUNCTION("""COMPUTED_VALUE"""),2023)</f>
        <v>2023</v>
      </c>
      <c r="Q355" s="2" t="str">
        <f ca="1">IFERROR(__xludf.DUMMYFUNCTION("""COMPUTED_VALUE"""),"0403")</f>
        <v>0403</v>
      </c>
      <c r="R355" s="2" t="str">
        <f ca="1">IFERROR(__xludf.DUMMYFUNCTION("""COMPUTED_VALUE"""),"08.003.0008.0244.0118.2030.33.90.35")</f>
        <v>08.003.0008.0244.0118.2030.33.90.35</v>
      </c>
      <c r="S355" s="2" t="str">
        <f ca="1">IFERROR(__xludf.DUMMYFUNCTION("""COMPUTED_VALUE"""),"00940")</f>
        <v>00940</v>
      </c>
      <c r="T355" s="2">
        <f ca="1">IFERROR(__xludf.DUMMYFUNCTION("""COMPUTED_VALUE"""),2024)</f>
        <v>2024</v>
      </c>
      <c r="U355" s="2" t="str">
        <f ca="1">IFERROR(__xludf.DUMMYFUNCTION("""COMPUTED_VALUE"""),"0486")</f>
        <v>0486</v>
      </c>
      <c r="V355" s="2" t="str">
        <f ca="1">IFERROR(__xludf.DUMMYFUNCTION("""COMPUTED_VALUE"""),"07.007.0015.0452.0104.1053.44.90.51")</f>
        <v>07.007.0015.0452.0104.1053.44.90.51</v>
      </c>
      <c r="W355" s="2" t="str">
        <f ca="1">IFERROR(__xludf.DUMMYFUNCTION("""COMPUTED_VALUE"""),"0")</f>
        <v>0</v>
      </c>
      <c r="X355" s="2"/>
      <c r="Y355" s="2"/>
      <c r="Z355" s="2"/>
      <c r="AA355" s="2"/>
      <c r="AB355" s="2"/>
      <c r="AC355" s="2"/>
      <c r="AD355" s="2"/>
      <c r="AE355" s="2"/>
      <c r="AF355" s="2"/>
    </row>
    <row r="356" spans="1:32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>
        <f ca="1">IFERROR(__xludf.DUMMYFUNCTION("""COMPUTED_VALUE"""),2023)</f>
        <v>2023</v>
      </c>
      <c r="Q356" s="2" t="str">
        <f ca="1">IFERROR(__xludf.DUMMYFUNCTION("""COMPUTED_VALUE"""),"0404")</f>
        <v>0404</v>
      </c>
      <c r="R356" s="2" t="str">
        <f ca="1">IFERROR(__xludf.DUMMYFUNCTION("""COMPUTED_VALUE"""),"08.007.0008.0241.0118.2031.33.90.35")</f>
        <v>08.007.0008.0241.0118.2031.33.90.35</v>
      </c>
      <c r="S356" s="2" t="str">
        <f ca="1">IFERROR(__xludf.DUMMYFUNCTION("""COMPUTED_VALUE"""),"0000")</f>
        <v>0000</v>
      </c>
      <c r="T356" s="2">
        <f ca="1">IFERROR(__xludf.DUMMYFUNCTION("""COMPUTED_VALUE"""),2024)</f>
        <v>2024</v>
      </c>
      <c r="U356" s="2" t="str">
        <f ca="1">IFERROR(__xludf.DUMMYFUNCTION("""COMPUTED_VALUE"""),"0487")</f>
        <v>0487</v>
      </c>
      <c r="V356" s="2" t="str">
        <f ca="1">IFERROR(__xludf.DUMMYFUNCTION("""COMPUTED_VALUE"""),"07.007.0015.0452.0104.1053.44.90.93")</f>
        <v>07.007.0015.0452.0104.1053.44.90.93</v>
      </c>
      <c r="W356" s="2" t="str">
        <f ca="1">IFERROR(__xludf.DUMMYFUNCTION("""COMPUTED_VALUE"""),"0")</f>
        <v>0</v>
      </c>
      <c r="X356" s="2"/>
      <c r="Y356" s="2"/>
      <c r="Z356" s="2"/>
      <c r="AA356" s="2"/>
      <c r="AB356" s="2"/>
      <c r="AC356" s="2"/>
      <c r="AD356" s="2"/>
      <c r="AE356" s="2"/>
      <c r="AF356" s="2"/>
    </row>
    <row r="357" spans="1:32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>
        <f ca="1">IFERROR(__xludf.DUMMYFUNCTION("""COMPUTED_VALUE"""),2023)</f>
        <v>2023</v>
      </c>
      <c r="Q357" s="2" t="str">
        <f ca="1">IFERROR(__xludf.DUMMYFUNCTION("""COMPUTED_VALUE"""),"0405")</f>
        <v>0405</v>
      </c>
      <c r="R357" s="2" t="str">
        <f ca="1">IFERROR(__xludf.DUMMYFUNCTION("""COMPUTED_VALUE"""),"08.003.0008.0243.0118.6000.33.90.35")</f>
        <v>08.003.0008.0243.0118.6000.33.90.35</v>
      </c>
      <c r="S357" s="2" t="str">
        <f ca="1">IFERROR(__xludf.DUMMYFUNCTION("""COMPUTED_VALUE"""),"0000")</f>
        <v>0000</v>
      </c>
      <c r="T357" s="2">
        <f ca="1">IFERROR(__xludf.DUMMYFUNCTION("""COMPUTED_VALUE"""),2024)</f>
        <v>2024</v>
      </c>
      <c r="U357" s="2" t="str">
        <f ca="1">IFERROR(__xludf.DUMMYFUNCTION("""COMPUTED_VALUE"""),"0489")</f>
        <v>0489</v>
      </c>
      <c r="V357" s="2" t="str">
        <f ca="1">IFERROR(__xludf.DUMMYFUNCTION("""COMPUTED_VALUE"""),"07.007.0015.0452.0104.2137.33.90.30")</f>
        <v>07.007.0015.0452.0104.2137.33.90.30</v>
      </c>
      <c r="W357" s="2" t="str">
        <f ca="1">IFERROR(__xludf.DUMMYFUNCTION("""COMPUTED_VALUE"""),"0")</f>
        <v>0</v>
      </c>
      <c r="X357" s="2"/>
      <c r="Y357" s="2"/>
      <c r="Z357" s="2"/>
      <c r="AA357" s="2"/>
      <c r="AB357" s="2"/>
      <c r="AC357" s="2"/>
      <c r="AD357" s="2"/>
      <c r="AE357" s="2"/>
      <c r="AF357" s="2"/>
    </row>
    <row r="358" spans="1:32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>
        <f ca="1">IFERROR(__xludf.DUMMYFUNCTION("""COMPUTED_VALUE"""),2023)</f>
        <v>2023</v>
      </c>
      <c r="Q358" s="2" t="str">
        <f ca="1">IFERROR(__xludf.DUMMYFUNCTION("""COMPUTED_VALUE"""),"0406")</f>
        <v>0406</v>
      </c>
      <c r="R358" s="2" t="str">
        <f ca="1">IFERROR(__xludf.DUMMYFUNCTION("""COMPUTED_VALUE"""),"08.003.0008.0243.0118.6000.33.90.35")</f>
        <v>08.003.0008.0243.0118.6000.33.90.35</v>
      </c>
      <c r="S358" s="2" t="str">
        <f ca="1">IFERROR(__xludf.DUMMYFUNCTION("""COMPUTED_VALUE"""),"00935")</f>
        <v>00935</v>
      </c>
      <c r="T358" s="2">
        <f ca="1">IFERROR(__xludf.DUMMYFUNCTION("""COMPUTED_VALUE"""),2024)</f>
        <v>2024</v>
      </c>
      <c r="U358" s="2" t="str">
        <f ca="1">IFERROR(__xludf.DUMMYFUNCTION("""COMPUTED_VALUE"""),"0493")</f>
        <v>0493</v>
      </c>
      <c r="V358" s="2" t="str">
        <f ca="1">IFERROR(__xludf.DUMMYFUNCTION("""COMPUTED_VALUE"""),"07.007.0015.0452.0104.2137.33.90.30")</f>
        <v>07.007.0015.0452.0104.2137.33.90.30</v>
      </c>
      <c r="W358" s="2" t="str">
        <f ca="1">IFERROR(__xludf.DUMMYFUNCTION("""COMPUTED_VALUE"""),"0")</f>
        <v>0</v>
      </c>
      <c r="X358" s="2"/>
      <c r="Y358" s="2"/>
      <c r="Z358" s="2"/>
      <c r="AA358" s="2"/>
      <c r="AB358" s="2"/>
      <c r="AC358" s="2"/>
      <c r="AD358" s="2"/>
      <c r="AE358" s="2"/>
      <c r="AF358" s="2"/>
    </row>
    <row r="359" spans="1:32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>
        <f ca="1">IFERROR(__xludf.DUMMYFUNCTION("""COMPUTED_VALUE"""),2023)</f>
        <v>2023</v>
      </c>
      <c r="Q359" s="2" t="str">
        <f ca="1">IFERROR(__xludf.DUMMYFUNCTION("""COMPUTED_VALUE"""),"0407")</f>
        <v>0407</v>
      </c>
      <c r="R359" s="2" t="str">
        <f ca="1">IFERROR(__xludf.DUMMYFUNCTION("""COMPUTED_VALUE"""),"08.005.0008.0243.0118.6001.33.90.35")</f>
        <v>08.005.0008.0243.0118.6001.33.90.35</v>
      </c>
      <c r="S359" s="2" t="str">
        <f ca="1">IFERROR(__xludf.DUMMYFUNCTION("""COMPUTED_VALUE"""),"0000")</f>
        <v>0000</v>
      </c>
      <c r="T359" s="2">
        <f ca="1">IFERROR(__xludf.DUMMYFUNCTION("""COMPUTED_VALUE"""),2024)</f>
        <v>2024</v>
      </c>
      <c r="U359" s="2" t="str">
        <f ca="1">IFERROR(__xludf.DUMMYFUNCTION("""COMPUTED_VALUE"""),"0495")</f>
        <v>0495</v>
      </c>
      <c r="V359" s="2" t="str">
        <f ca="1">IFERROR(__xludf.DUMMYFUNCTION("""COMPUTED_VALUE"""),"07.007.0015.0452.0104.2137.33.90.39")</f>
        <v>07.007.0015.0452.0104.2137.33.90.39</v>
      </c>
      <c r="W359" s="2" t="str">
        <f ca="1">IFERROR(__xludf.DUMMYFUNCTION("""COMPUTED_VALUE"""),"33")</f>
        <v>33</v>
      </c>
      <c r="X359" s="2"/>
      <c r="Y359" s="2"/>
      <c r="Z359" s="2"/>
      <c r="AA359" s="2"/>
      <c r="AB359" s="2"/>
      <c r="AC359" s="2"/>
      <c r="AD359" s="2"/>
      <c r="AE359" s="2"/>
      <c r="AF359" s="2"/>
    </row>
    <row r="360" spans="1:32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>
        <f ca="1">IFERROR(__xludf.DUMMYFUNCTION("""COMPUTED_VALUE"""),2023)</f>
        <v>2023</v>
      </c>
      <c r="Q360" s="2" t="str">
        <f ca="1">IFERROR(__xludf.DUMMYFUNCTION("""COMPUTED_VALUE"""),"0408")</f>
        <v>0408</v>
      </c>
      <c r="R360" s="2" t="str">
        <f ca="1">IFERROR(__xludf.DUMMYFUNCTION("""COMPUTED_VALUE"""),"16.003.0015.0451.0122.2084.33.90.35")</f>
        <v>16.003.0015.0451.0122.2084.33.90.35</v>
      </c>
      <c r="S360" s="2" t="str">
        <f ca="1">IFERROR(__xludf.DUMMYFUNCTION("""COMPUTED_VALUE"""),"0000")</f>
        <v>0000</v>
      </c>
      <c r="T360" s="2">
        <f ca="1">IFERROR(__xludf.DUMMYFUNCTION("""COMPUTED_VALUE"""),2024)</f>
        <v>2024</v>
      </c>
      <c r="U360" s="2" t="str">
        <f ca="1">IFERROR(__xludf.DUMMYFUNCTION("""COMPUTED_VALUE"""),"0494")</f>
        <v>0494</v>
      </c>
      <c r="V360" s="2" t="str">
        <f ca="1">IFERROR(__xludf.DUMMYFUNCTION("""COMPUTED_VALUE"""),"07.007.0015.0452.0104.2137.33.90.39")</f>
        <v>07.007.0015.0452.0104.2137.33.90.39</v>
      </c>
      <c r="W360" s="2" t="str">
        <f ca="1">IFERROR(__xludf.DUMMYFUNCTION("""COMPUTED_VALUE"""),"0")</f>
        <v>0</v>
      </c>
      <c r="X360" s="2"/>
      <c r="Y360" s="2"/>
      <c r="Z360" s="2"/>
      <c r="AA360" s="2"/>
      <c r="AB360" s="2"/>
      <c r="AC360" s="2"/>
      <c r="AD360" s="2"/>
      <c r="AE360" s="2"/>
      <c r="AF360" s="2"/>
    </row>
    <row r="361" spans="1:32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>
        <f ca="1">IFERROR(__xludf.DUMMYFUNCTION("""COMPUTED_VALUE"""),2023)</f>
        <v>2023</v>
      </c>
      <c r="Q361" s="2" t="str">
        <f ca="1">IFERROR(__xludf.DUMMYFUNCTION("""COMPUTED_VALUE"""),"0409")</f>
        <v>0409</v>
      </c>
      <c r="R361" s="2" t="str">
        <f ca="1">IFERROR(__xludf.DUMMYFUNCTION("""COMPUTED_VALUE"""),"16.003.0015.0451.0122.2084.33.90.35")</f>
        <v>16.003.0015.0451.0122.2084.33.90.35</v>
      </c>
      <c r="S361" s="2" t="str">
        <f ca="1">IFERROR(__xludf.DUMMYFUNCTION("""COMPUTED_VALUE"""),"05104")</f>
        <v>05104</v>
      </c>
      <c r="T361" s="2">
        <f ca="1">IFERROR(__xludf.DUMMYFUNCTION("""COMPUTED_VALUE"""),2024)</f>
        <v>2024</v>
      </c>
      <c r="U361" s="2" t="str">
        <f ca="1">IFERROR(__xludf.DUMMYFUNCTION("""COMPUTED_VALUE"""),"0496")</f>
        <v>0496</v>
      </c>
      <c r="V361" s="2" t="str">
        <f ca="1">IFERROR(__xludf.DUMMYFUNCTION("""COMPUTED_VALUE"""),"08.001.0008.0244.0118.1011.44.90.52")</f>
        <v>08.001.0008.0244.0118.1011.44.90.52</v>
      </c>
      <c r="W361" s="2" t="str">
        <f ca="1">IFERROR(__xludf.DUMMYFUNCTION("""COMPUTED_VALUE"""),"33")</f>
        <v>33</v>
      </c>
      <c r="X361" s="2"/>
      <c r="Y361" s="2"/>
      <c r="Z361" s="2"/>
      <c r="AA361" s="2"/>
      <c r="AB361" s="2"/>
      <c r="AC361" s="2"/>
      <c r="AD361" s="2"/>
      <c r="AE361" s="2"/>
      <c r="AF361" s="2"/>
    </row>
    <row r="362" spans="1:3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>
        <f ca="1">IFERROR(__xludf.DUMMYFUNCTION("""COMPUTED_VALUE"""),2023)</f>
        <v>2023</v>
      </c>
      <c r="Q362" s="2" t="str">
        <f ca="1">IFERROR(__xludf.DUMMYFUNCTION("""COMPUTED_VALUE"""),"0410")</f>
        <v>0410</v>
      </c>
      <c r="R362" s="2" t="str">
        <f ca="1">IFERROR(__xludf.DUMMYFUNCTION("""COMPUTED_VALUE"""),"18.003.0015.0121.0140.1030.33.90.35")</f>
        <v>18.003.0015.0121.0140.1030.33.90.35</v>
      </c>
      <c r="S362" s="2" t="str">
        <f ca="1">IFERROR(__xludf.DUMMYFUNCTION("""COMPUTED_VALUE"""),"0000")</f>
        <v>0000</v>
      </c>
      <c r="T362" s="2">
        <f ca="1">IFERROR(__xludf.DUMMYFUNCTION("""COMPUTED_VALUE"""),2024)</f>
        <v>2024</v>
      </c>
      <c r="U362" s="2" t="str">
        <f ca="1">IFERROR(__xludf.DUMMYFUNCTION("""COMPUTED_VALUE"""),"0497")</f>
        <v>0497</v>
      </c>
      <c r="V362" s="2" t="str">
        <f ca="1">IFERROR(__xludf.DUMMYFUNCTION("""COMPUTED_VALUE"""),"08.001.0008.0244.0118.2029.33.90.14")</f>
        <v>08.001.0008.0244.0118.2029.33.90.14</v>
      </c>
      <c r="W362" s="2" t="str">
        <f ca="1">IFERROR(__xludf.DUMMYFUNCTION("""COMPUTED_VALUE"""),"0")</f>
        <v>0</v>
      </c>
      <c r="X362" s="2"/>
      <c r="Y362" s="2"/>
      <c r="Z362" s="2"/>
      <c r="AA362" s="2"/>
      <c r="AB362" s="2"/>
      <c r="AC362" s="2"/>
      <c r="AD362" s="2"/>
      <c r="AE362" s="2"/>
      <c r="AF362" s="2"/>
    </row>
    <row r="363" spans="1:32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>
        <f ca="1">IFERROR(__xludf.DUMMYFUNCTION("""COMPUTED_VALUE"""),2023)</f>
        <v>2023</v>
      </c>
      <c r="Q363" s="2" t="str">
        <f ca="1">IFERROR(__xludf.DUMMYFUNCTION("""COMPUTED_VALUE"""),"0411")</f>
        <v>0411</v>
      </c>
      <c r="R363" s="2" t="str">
        <f ca="1">IFERROR(__xludf.DUMMYFUNCTION("""COMPUTED_VALUE"""),"18.004.0015.0182.0140.1076.33.90.35")</f>
        <v>18.004.0015.0182.0140.1076.33.90.35</v>
      </c>
      <c r="S363" s="2" t="str">
        <f ca="1">IFERROR(__xludf.DUMMYFUNCTION("""COMPUTED_VALUE"""),"0000")</f>
        <v>0000</v>
      </c>
      <c r="T363" s="2">
        <f ca="1">IFERROR(__xludf.DUMMYFUNCTION("""COMPUTED_VALUE"""),2024)</f>
        <v>2024</v>
      </c>
      <c r="U363" s="2" t="str">
        <f ca="1">IFERROR(__xludf.DUMMYFUNCTION("""COMPUTED_VALUE"""),"0498")</f>
        <v>0498</v>
      </c>
      <c r="V363" s="2" t="str">
        <f ca="1">IFERROR(__xludf.DUMMYFUNCTION("""COMPUTED_VALUE"""),"08.001.0008.0244.0118.2029.33.90.30")</f>
        <v>08.001.0008.0244.0118.2029.33.90.30</v>
      </c>
      <c r="W363" s="2" t="str">
        <f ca="1">IFERROR(__xludf.DUMMYFUNCTION("""COMPUTED_VALUE"""),"0")</f>
        <v>0</v>
      </c>
      <c r="X363" s="2"/>
      <c r="Y363" s="2"/>
      <c r="Z363" s="2"/>
      <c r="AA363" s="2"/>
      <c r="AB363" s="2"/>
      <c r="AC363" s="2"/>
      <c r="AD363" s="2"/>
      <c r="AE363" s="2"/>
      <c r="AF363" s="2"/>
    </row>
    <row r="364" spans="1:32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>
        <f ca="1">IFERROR(__xludf.DUMMYFUNCTION("""COMPUTED_VALUE"""),2023)</f>
        <v>2023</v>
      </c>
      <c r="Q364" s="2" t="str">
        <f ca="1">IFERROR(__xludf.DUMMYFUNCTION("""COMPUTED_VALUE"""),"0412")</f>
        <v>0412</v>
      </c>
      <c r="R364" s="2" t="str">
        <f ca="1">IFERROR(__xludf.DUMMYFUNCTION("""COMPUTED_VALUE"""),"18.004.0015.0182.0140.1076.33.90.35")</f>
        <v>18.004.0015.0182.0140.1076.33.90.35</v>
      </c>
      <c r="S364" s="2" t="str">
        <f ca="1">IFERROR(__xludf.DUMMYFUNCTION("""COMPUTED_VALUE"""),"00509")</f>
        <v>00509</v>
      </c>
      <c r="T364" s="2">
        <f ca="1">IFERROR(__xludf.DUMMYFUNCTION("""COMPUTED_VALUE"""),2024)</f>
        <v>2024</v>
      </c>
      <c r="U364" s="2" t="str">
        <f ca="1">IFERROR(__xludf.DUMMYFUNCTION("""COMPUTED_VALUE"""),"0499")</f>
        <v>0499</v>
      </c>
      <c r="V364" s="2" t="str">
        <f ca="1">IFERROR(__xludf.DUMMYFUNCTION("""COMPUTED_VALUE"""),"08.001.0008.0244.0118.2029.33.90.33")</f>
        <v>08.001.0008.0244.0118.2029.33.90.33</v>
      </c>
      <c r="W364" s="2" t="str">
        <f ca="1">IFERROR(__xludf.DUMMYFUNCTION("""COMPUTED_VALUE"""),"0")</f>
        <v>0</v>
      </c>
      <c r="X364" s="2"/>
      <c r="Y364" s="2"/>
      <c r="Z364" s="2"/>
      <c r="AA364" s="2"/>
      <c r="AB364" s="2"/>
      <c r="AC364" s="2"/>
      <c r="AD364" s="2"/>
      <c r="AE364" s="2"/>
      <c r="AF364" s="2"/>
    </row>
    <row r="365" spans="1:32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>
        <f ca="1">IFERROR(__xludf.DUMMYFUNCTION("""COMPUTED_VALUE"""),2023)</f>
        <v>2023</v>
      </c>
      <c r="Q365" s="2" t="str">
        <f ca="1">IFERROR(__xludf.DUMMYFUNCTION("""COMPUTED_VALUE"""),"0413")</f>
        <v>0413</v>
      </c>
      <c r="R365" s="2" t="str">
        <f ca="1">IFERROR(__xludf.DUMMYFUNCTION("""COMPUTED_VALUE"""),"18.001.0004.0121.0140.2023.33.90.35")</f>
        <v>18.001.0004.0121.0140.2023.33.90.35</v>
      </c>
      <c r="S365" s="2" t="str">
        <f ca="1">IFERROR(__xludf.DUMMYFUNCTION("""COMPUTED_VALUE"""),"0000")</f>
        <v>0000</v>
      </c>
      <c r="T365" s="2">
        <f ca="1">IFERROR(__xludf.DUMMYFUNCTION("""COMPUTED_VALUE"""),2024)</f>
        <v>2024</v>
      </c>
      <c r="U365" s="2" t="str">
        <f ca="1">IFERROR(__xludf.DUMMYFUNCTION("""COMPUTED_VALUE"""),"0500")</f>
        <v>0500</v>
      </c>
      <c r="V365" s="2" t="str">
        <f ca="1">IFERROR(__xludf.DUMMYFUNCTION("""COMPUTED_VALUE"""),"08.001.0008.0244.0118.2029.33.90.36")</f>
        <v>08.001.0008.0244.0118.2029.33.90.36</v>
      </c>
      <c r="W365" s="2" t="str">
        <f ca="1">IFERROR(__xludf.DUMMYFUNCTION("""COMPUTED_VALUE"""),"0")</f>
        <v>0</v>
      </c>
      <c r="X365" s="2"/>
      <c r="Y365" s="2"/>
      <c r="Z365" s="2"/>
      <c r="AA365" s="2"/>
      <c r="AB365" s="2"/>
      <c r="AC365" s="2"/>
      <c r="AD365" s="2"/>
      <c r="AE365" s="2"/>
      <c r="AF365" s="2"/>
    </row>
    <row r="366" spans="1:32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>
        <f ca="1">IFERROR(__xludf.DUMMYFUNCTION("""COMPUTED_VALUE"""),2023)</f>
        <v>2023</v>
      </c>
      <c r="Q366" s="2" t="str">
        <f ca="1">IFERROR(__xludf.DUMMYFUNCTION("""COMPUTED_VALUE"""),"0414")</f>
        <v>0414</v>
      </c>
      <c r="R366" s="2" t="str">
        <f ca="1">IFERROR(__xludf.DUMMYFUNCTION("""COMPUTED_VALUE"""),"18.002.0006.0181.0140.2024.33.90.35")</f>
        <v>18.002.0006.0181.0140.2024.33.90.35</v>
      </c>
      <c r="S366" s="2" t="str">
        <f ca="1">IFERROR(__xludf.DUMMYFUNCTION("""COMPUTED_VALUE"""),"0000")</f>
        <v>0000</v>
      </c>
      <c r="T366" s="2">
        <f ca="1">IFERROR(__xludf.DUMMYFUNCTION("""COMPUTED_VALUE"""),2024)</f>
        <v>2024</v>
      </c>
      <c r="U366" s="2" t="str">
        <f ca="1">IFERROR(__xludf.DUMMYFUNCTION("""COMPUTED_VALUE"""),"0501")</f>
        <v>0501</v>
      </c>
      <c r="V366" s="2" t="str">
        <f ca="1">IFERROR(__xludf.DUMMYFUNCTION("""COMPUTED_VALUE"""),"08.001.0008.0244.0118.2029.33.90.39")</f>
        <v>08.001.0008.0244.0118.2029.33.90.39</v>
      </c>
      <c r="W366" s="2" t="str">
        <f ca="1">IFERROR(__xludf.DUMMYFUNCTION("""COMPUTED_VALUE"""),"0")</f>
        <v>0</v>
      </c>
      <c r="X366" s="2"/>
      <c r="Y366" s="2"/>
      <c r="Z366" s="2"/>
      <c r="AA366" s="2"/>
      <c r="AB366" s="2"/>
      <c r="AC366" s="2"/>
      <c r="AD366" s="2"/>
      <c r="AE366" s="2"/>
      <c r="AF366" s="2"/>
    </row>
    <row r="367" spans="1:32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>
        <f ca="1">IFERROR(__xludf.DUMMYFUNCTION("""COMPUTED_VALUE"""),2023)</f>
        <v>2023</v>
      </c>
      <c r="Q367" s="2" t="str">
        <f ca="1">IFERROR(__xludf.DUMMYFUNCTION("""COMPUTED_VALUE"""),"0415")</f>
        <v>0415</v>
      </c>
      <c r="R367" s="2" t="str">
        <f ca="1">IFERROR(__xludf.DUMMYFUNCTION("""COMPUTED_VALUE"""),"18.003.0015.0452.0140.2027.33.90.35")</f>
        <v>18.003.0015.0452.0140.2027.33.90.35</v>
      </c>
      <c r="S367" s="2" t="str">
        <f ca="1">IFERROR(__xludf.DUMMYFUNCTION("""COMPUTED_VALUE"""),"0000")</f>
        <v>0000</v>
      </c>
      <c r="T367" s="2">
        <f ca="1">IFERROR(__xludf.DUMMYFUNCTION("""COMPUTED_VALUE"""),2024)</f>
        <v>2024</v>
      </c>
      <c r="U367" s="2" t="str">
        <f ca="1">IFERROR(__xludf.DUMMYFUNCTION("""COMPUTED_VALUE"""),"0502")</f>
        <v>0502</v>
      </c>
      <c r="V367" s="2" t="str">
        <f ca="1">IFERROR(__xludf.DUMMYFUNCTION("""COMPUTED_VALUE"""),"08.001.0008.0244.0118.2029.33.90.40")</f>
        <v>08.001.0008.0244.0118.2029.33.90.40</v>
      </c>
      <c r="W367" s="2" t="str">
        <f ca="1">IFERROR(__xludf.DUMMYFUNCTION("""COMPUTED_VALUE"""),"9391")</f>
        <v>9391</v>
      </c>
      <c r="X367" s="2"/>
      <c r="Y367" s="2"/>
      <c r="Z367" s="2"/>
      <c r="AA367" s="2"/>
      <c r="AB367" s="2"/>
      <c r="AC367" s="2"/>
      <c r="AD367" s="2"/>
      <c r="AE367" s="2"/>
      <c r="AF367" s="2"/>
    </row>
    <row r="368" spans="1:32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>
        <f ca="1">IFERROR(__xludf.DUMMYFUNCTION("""COMPUTED_VALUE"""),2023)</f>
        <v>2023</v>
      </c>
      <c r="Q368" s="2" t="str">
        <f ca="1">IFERROR(__xludf.DUMMYFUNCTION("""COMPUTED_VALUE"""),"0416")</f>
        <v>0416</v>
      </c>
      <c r="R368" s="2" t="str">
        <f ca="1">IFERROR(__xludf.DUMMYFUNCTION("""COMPUTED_VALUE"""),"18.004.0006.0181.0140.2142.33.90.35")</f>
        <v>18.004.0006.0181.0140.2142.33.90.35</v>
      </c>
      <c r="S368" s="2" t="str">
        <f ca="1">IFERROR(__xludf.DUMMYFUNCTION("""COMPUTED_VALUE"""),"0000")</f>
        <v>0000</v>
      </c>
      <c r="T368" s="2">
        <f ca="1">IFERROR(__xludf.DUMMYFUNCTION("""COMPUTED_VALUE"""),2024)</f>
        <v>2024</v>
      </c>
      <c r="U368" s="2" t="str">
        <f ca="1">IFERROR(__xludf.DUMMYFUNCTION("""COMPUTED_VALUE"""),"0503")</f>
        <v>0503</v>
      </c>
      <c r="V368" s="2" t="str">
        <f ca="1">IFERROR(__xludf.DUMMYFUNCTION("""COMPUTED_VALUE"""),"08.003.0008.0243.0118.5001.44.90.52")</f>
        <v>08.003.0008.0243.0118.5001.44.90.52</v>
      </c>
      <c r="W368" s="2" t="str">
        <f ca="1">IFERROR(__xludf.DUMMYFUNCTION("""COMPUTED_VALUE"""),"0")</f>
        <v>0</v>
      </c>
      <c r="X368" s="2"/>
      <c r="Y368" s="2"/>
      <c r="Z368" s="2"/>
      <c r="AA368" s="2"/>
      <c r="AB368" s="2"/>
      <c r="AC368" s="2"/>
      <c r="AD368" s="2"/>
      <c r="AE368" s="2"/>
      <c r="AF368" s="2"/>
    </row>
    <row r="369" spans="1:32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>
        <f ca="1">IFERROR(__xludf.DUMMYFUNCTION("""COMPUTED_VALUE"""),2023)</f>
        <v>2023</v>
      </c>
      <c r="Q369" s="2" t="str">
        <f ca="1">IFERROR(__xludf.DUMMYFUNCTION("""COMPUTED_VALUE"""),"0417")</f>
        <v>0417</v>
      </c>
      <c r="R369" s="2" t="str">
        <f ca="1">IFERROR(__xludf.DUMMYFUNCTION("""COMPUTED_VALUE"""),"18.004.0015.0452.0140.2145.33.90.35")</f>
        <v>18.004.0015.0452.0140.2145.33.90.35</v>
      </c>
      <c r="S369" s="2" t="str">
        <f ca="1">IFERROR(__xludf.DUMMYFUNCTION("""COMPUTED_VALUE"""),"0000")</f>
        <v>0000</v>
      </c>
      <c r="T369" s="2">
        <f ca="1">IFERROR(__xludf.DUMMYFUNCTION("""COMPUTED_VALUE"""),2024)</f>
        <v>2024</v>
      </c>
      <c r="U369" s="2" t="str">
        <f ca="1">IFERROR(__xludf.DUMMYFUNCTION("""COMPUTED_VALUE"""),"0504")</f>
        <v>0504</v>
      </c>
      <c r="V369" s="2" t="str">
        <f ca="1">IFERROR(__xludf.DUMMYFUNCTION("""COMPUTED_VALUE"""),"08.003.0008.0243.0118.5001.44.90.52")</f>
        <v>08.003.0008.0243.0118.5001.44.90.52</v>
      </c>
      <c r="W369" s="2" t="str">
        <f ca="1">IFERROR(__xludf.DUMMYFUNCTION("""COMPUTED_VALUE"""),"0")</f>
        <v>0</v>
      </c>
      <c r="X369" s="2"/>
      <c r="Y369" s="2"/>
      <c r="Z369" s="2"/>
      <c r="AA369" s="2"/>
      <c r="AB369" s="2"/>
      <c r="AC369" s="2"/>
      <c r="AD369" s="2"/>
      <c r="AE369" s="2"/>
      <c r="AF369" s="2"/>
    </row>
    <row r="370" spans="1:32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>
        <f ca="1">IFERROR(__xludf.DUMMYFUNCTION("""COMPUTED_VALUE"""),2023)</f>
        <v>2023</v>
      </c>
      <c r="Q370" s="2" t="str">
        <f ca="1">IFERROR(__xludf.DUMMYFUNCTION("""COMPUTED_VALUE"""),"0418")</f>
        <v>0418</v>
      </c>
      <c r="R370" s="2" t="str">
        <f ca="1">IFERROR(__xludf.DUMMYFUNCTION("""COMPUTED_VALUE"""),"14.001.0028.0061.0000.0001.33.90.36")</f>
        <v>14.001.0028.0061.0000.0001.33.90.36</v>
      </c>
      <c r="S370" s="2" t="str">
        <f ca="1">IFERROR(__xludf.DUMMYFUNCTION("""COMPUTED_VALUE"""),"0000")</f>
        <v>0000</v>
      </c>
      <c r="T370" s="2">
        <f ca="1">IFERROR(__xludf.DUMMYFUNCTION("""COMPUTED_VALUE"""),2024)</f>
        <v>2024</v>
      </c>
      <c r="U370" s="2" t="str">
        <f ca="1">IFERROR(__xludf.DUMMYFUNCTION("""COMPUTED_VALUE"""),"0505")</f>
        <v>0505</v>
      </c>
      <c r="V370" s="2" t="str">
        <f ca="1">IFERROR(__xludf.DUMMYFUNCTION("""COMPUTED_VALUE"""),"08.003.0008.0243.0118.6000.33.90.30")</f>
        <v>08.003.0008.0243.0118.6000.33.90.30</v>
      </c>
      <c r="W370" s="2" t="str">
        <f ca="1">IFERROR(__xludf.DUMMYFUNCTION("""COMPUTED_VALUE"""),"9391")</f>
        <v>9391</v>
      </c>
      <c r="X370" s="2"/>
      <c r="Y370" s="2"/>
      <c r="Z370" s="2"/>
      <c r="AA370" s="2"/>
      <c r="AB370" s="2"/>
      <c r="AC370" s="2"/>
      <c r="AD370" s="2"/>
      <c r="AE370" s="2"/>
      <c r="AF370" s="2"/>
    </row>
    <row r="371" spans="1:32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>
        <f ca="1">IFERROR(__xludf.DUMMYFUNCTION("""COMPUTED_VALUE"""),2023)</f>
        <v>2023</v>
      </c>
      <c r="Q371" s="2" t="str">
        <f ca="1">IFERROR(__xludf.DUMMYFUNCTION("""COMPUTED_VALUE"""),"0419")</f>
        <v>0419</v>
      </c>
      <c r="R371" s="2" t="str">
        <f ca="1">IFERROR(__xludf.DUMMYFUNCTION("""COMPUTED_VALUE"""),"02.001.0004.0121.0022.2104.33.90.36")</f>
        <v>02.001.0004.0121.0022.2104.33.90.36</v>
      </c>
      <c r="S371" s="2" t="str">
        <f ca="1">IFERROR(__xludf.DUMMYFUNCTION("""COMPUTED_VALUE"""),"0000")</f>
        <v>0000</v>
      </c>
      <c r="T371" s="2">
        <f ca="1">IFERROR(__xludf.DUMMYFUNCTION("""COMPUTED_VALUE"""),2024)</f>
        <v>2024</v>
      </c>
      <c r="U371" s="2" t="str">
        <f ca="1">IFERROR(__xludf.DUMMYFUNCTION("""COMPUTED_VALUE"""),"0506")</f>
        <v>0506</v>
      </c>
      <c r="V371" s="2" t="str">
        <f ca="1">IFERROR(__xludf.DUMMYFUNCTION("""COMPUTED_VALUE"""),"08.003.0008.0243.0118.6000.33.90.30")</f>
        <v>08.003.0008.0243.0118.6000.33.90.30</v>
      </c>
      <c r="W371" s="2" t="str">
        <f ca="1">IFERROR(__xludf.DUMMYFUNCTION("""COMPUTED_VALUE"""),"0")</f>
        <v>0</v>
      </c>
      <c r="X371" s="2"/>
      <c r="Y371" s="2"/>
      <c r="Z371" s="2"/>
      <c r="AA371" s="2"/>
      <c r="AB371" s="2"/>
      <c r="AC371" s="2"/>
      <c r="AD371" s="2"/>
      <c r="AE371" s="2"/>
      <c r="AF371" s="2"/>
    </row>
    <row r="372" spans="1:3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>
        <f ca="1">IFERROR(__xludf.DUMMYFUNCTION("""COMPUTED_VALUE"""),2023)</f>
        <v>2023</v>
      </c>
      <c r="Q372" s="2" t="str">
        <f ca="1">IFERROR(__xludf.DUMMYFUNCTION("""COMPUTED_VALUE"""),"0421")</f>
        <v>0421</v>
      </c>
      <c r="R372" s="2" t="str">
        <f ca="1">IFERROR(__xludf.DUMMYFUNCTION("""COMPUTED_VALUE"""),"04.001.0004.0122.0040.2001.33.90.36")</f>
        <v>04.001.0004.0122.0040.2001.33.90.36</v>
      </c>
      <c r="S372" s="2" t="str">
        <f ca="1">IFERROR(__xludf.DUMMYFUNCTION("""COMPUTED_VALUE"""),"0000")</f>
        <v>0000</v>
      </c>
      <c r="T372" s="2">
        <f ca="1">IFERROR(__xludf.DUMMYFUNCTION("""COMPUTED_VALUE"""),2024)</f>
        <v>2024</v>
      </c>
      <c r="U372" s="2" t="str">
        <f ca="1">IFERROR(__xludf.DUMMYFUNCTION("""COMPUTED_VALUE"""),"0510")</f>
        <v>0510</v>
      </c>
      <c r="V372" s="2" t="str">
        <f ca="1">IFERROR(__xludf.DUMMYFUNCTION("""COMPUTED_VALUE"""),"08.003.0008.0243.0118.6000.33.90.30")</f>
        <v>08.003.0008.0243.0118.6000.33.90.30</v>
      </c>
      <c r="W372" s="2" t="str">
        <f ca="1">IFERROR(__xludf.DUMMYFUNCTION("""COMPUTED_VALUE"""),"935")</f>
        <v>935</v>
      </c>
      <c r="X372" s="2"/>
      <c r="Y372" s="2"/>
      <c r="Z372" s="2"/>
      <c r="AA372" s="2"/>
      <c r="AB372" s="2"/>
      <c r="AC372" s="2"/>
      <c r="AD372" s="2"/>
      <c r="AE372" s="2"/>
      <c r="AF372" s="2"/>
    </row>
    <row r="373" spans="1:32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>
        <f ca="1">IFERROR(__xludf.DUMMYFUNCTION("""COMPUTED_VALUE"""),2023)</f>
        <v>2023</v>
      </c>
      <c r="Q373" s="2" t="str">
        <f ca="1">IFERROR(__xludf.DUMMYFUNCTION("""COMPUTED_VALUE"""),"0422")</f>
        <v>0422</v>
      </c>
      <c r="R373" s="2" t="str">
        <f ca="1">IFERROR(__xludf.DUMMYFUNCTION("""COMPUTED_VALUE"""),"04.002.0004.0122.0040.2005.33.90.36")</f>
        <v>04.002.0004.0122.0040.2005.33.90.36</v>
      </c>
      <c r="S373" s="2" t="str">
        <f ca="1">IFERROR(__xludf.DUMMYFUNCTION("""COMPUTED_VALUE"""),"0000")</f>
        <v>0000</v>
      </c>
      <c r="T373" s="2">
        <f ca="1">IFERROR(__xludf.DUMMYFUNCTION("""COMPUTED_VALUE"""),2024)</f>
        <v>2024</v>
      </c>
      <c r="U373" s="2" t="str">
        <f ca="1">IFERROR(__xludf.DUMMYFUNCTION("""COMPUTED_VALUE"""),"0514")</f>
        <v>0514</v>
      </c>
      <c r="V373" s="2" t="str">
        <f ca="1">IFERROR(__xludf.DUMMYFUNCTION("""COMPUTED_VALUE"""),"08.003.0008.0243.0118.6000.33.90.32")</f>
        <v>08.003.0008.0243.0118.6000.33.90.32</v>
      </c>
      <c r="W373" s="2" t="str">
        <f ca="1">IFERROR(__xludf.DUMMYFUNCTION("""COMPUTED_VALUE"""),"9391")</f>
        <v>9391</v>
      </c>
      <c r="X373" s="2"/>
      <c r="Y373" s="2"/>
      <c r="Z373" s="2"/>
      <c r="AA373" s="2"/>
      <c r="AB373" s="2"/>
      <c r="AC373" s="2"/>
      <c r="AD373" s="2"/>
      <c r="AE373" s="2"/>
      <c r="AF373" s="2"/>
    </row>
    <row r="374" spans="1:32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>
        <f ca="1">IFERROR(__xludf.DUMMYFUNCTION("""COMPUTED_VALUE"""),2023)</f>
        <v>2023</v>
      </c>
      <c r="Q374" s="2" t="str">
        <f ca="1">IFERROR(__xludf.DUMMYFUNCTION("""COMPUTED_VALUE"""),"0423")</f>
        <v>0423</v>
      </c>
      <c r="R374" s="2" t="str">
        <f ca="1">IFERROR(__xludf.DUMMYFUNCTION("""COMPUTED_VALUE"""),"05.001.0012.0361.0074.6012.33.90.36")</f>
        <v>05.001.0012.0361.0074.6012.33.90.36</v>
      </c>
      <c r="S374" s="2" t="str">
        <f ca="1">IFERROR(__xludf.DUMMYFUNCTION("""COMPUTED_VALUE"""),"00107")</f>
        <v>00107</v>
      </c>
      <c r="T374" s="2">
        <f ca="1">IFERROR(__xludf.DUMMYFUNCTION("""COMPUTED_VALUE"""),2024)</f>
        <v>2024</v>
      </c>
      <c r="U374" s="2" t="str">
        <f ca="1">IFERROR(__xludf.DUMMYFUNCTION("""COMPUTED_VALUE"""),"1162")</f>
        <v>1162</v>
      </c>
      <c r="V374" s="2" t="str">
        <f ca="1">IFERROR(__xludf.DUMMYFUNCTION("""COMPUTED_VALUE"""),"08.003.0008.0243.0118.6000.33.90.33")</f>
        <v>08.003.0008.0243.0118.6000.33.90.33</v>
      </c>
      <c r="W374" s="2" t="str">
        <f ca="1">IFERROR(__xludf.DUMMYFUNCTION("""COMPUTED_VALUE"""),"0")</f>
        <v>0</v>
      </c>
      <c r="X374" s="2"/>
      <c r="Y374" s="2"/>
      <c r="Z374" s="2"/>
      <c r="AA374" s="2"/>
      <c r="AB374" s="2"/>
      <c r="AC374" s="2"/>
      <c r="AD374" s="2"/>
      <c r="AE374" s="2"/>
      <c r="AF374" s="2"/>
    </row>
    <row r="375" spans="1:32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>
        <f ca="1">IFERROR(__xludf.DUMMYFUNCTION("""COMPUTED_VALUE"""),2023)</f>
        <v>2023</v>
      </c>
      <c r="Q375" s="2" t="str">
        <f ca="1">IFERROR(__xludf.DUMMYFUNCTION("""COMPUTED_VALUE"""),"0424")</f>
        <v>0424</v>
      </c>
      <c r="R375" s="2" t="str">
        <f ca="1">IFERROR(__xludf.DUMMYFUNCTION("""COMPUTED_VALUE"""),"05.001.0012.0361.0074.6018.33.90.36")</f>
        <v>05.001.0012.0361.0074.6018.33.90.36</v>
      </c>
      <c r="S375" s="2" t="str">
        <f ca="1">IFERROR(__xludf.DUMMYFUNCTION("""COMPUTED_VALUE"""),"00104")</f>
        <v>00104</v>
      </c>
      <c r="T375" s="2">
        <f ca="1">IFERROR(__xludf.DUMMYFUNCTION("""COMPUTED_VALUE"""),2024)</f>
        <v>2024</v>
      </c>
      <c r="U375" s="2" t="str">
        <f ca="1">IFERROR(__xludf.DUMMYFUNCTION("""COMPUTED_VALUE"""),"0507")</f>
        <v>0507</v>
      </c>
      <c r="V375" s="2" t="str">
        <f ca="1">IFERROR(__xludf.DUMMYFUNCTION("""COMPUTED_VALUE"""),"08.003.0008.0243.0118.6000.33.90.35")</f>
        <v>08.003.0008.0243.0118.6000.33.90.35</v>
      </c>
      <c r="W375" s="2" t="str">
        <f ca="1">IFERROR(__xludf.DUMMYFUNCTION("""COMPUTED_VALUE"""),"0")</f>
        <v>0</v>
      </c>
      <c r="X375" s="2"/>
      <c r="Y375" s="2"/>
      <c r="Z375" s="2"/>
      <c r="AA375" s="2"/>
      <c r="AB375" s="2"/>
      <c r="AC375" s="2"/>
      <c r="AD375" s="2"/>
      <c r="AE375" s="2"/>
      <c r="AF375" s="2"/>
    </row>
    <row r="376" spans="1:32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>
        <f ca="1">IFERROR(__xludf.DUMMYFUNCTION("""COMPUTED_VALUE"""),2023)</f>
        <v>2023</v>
      </c>
      <c r="Q376" s="2" t="str">
        <f ca="1">IFERROR(__xludf.DUMMYFUNCTION("""COMPUTED_VALUE"""),"0425")</f>
        <v>0425</v>
      </c>
      <c r="R376" s="2" t="str">
        <f ca="1">IFERROR(__xludf.DUMMYFUNCTION("""COMPUTED_VALUE"""),"11.002.0013.0392.0082.2010.33.90.36")</f>
        <v>11.002.0013.0392.0082.2010.33.90.36</v>
      </c>
      <c r="S376" s="2" t="str">
        <f ca="1">IFERROR(__xludf.DUMMYFUNCTION("""COMPUTED_VALUE"""),"0000")</f>
        <v>0000</v>
      </c>
      <c r="T376" s="2">
        <f ca="1">IFERROR(__xludf.DUMMYFUNCTION("""COMPUTED_VALUE"""),2024)</f>
        <v>2024</v>
      </c>
      <c r="U376" s="2" t="str">
        <f ca="1">IFERROR(__xludf.DUMMYFUNCTION("""COMPUTED_VALUE"""),"0508")</f>
        <v>0508</v>
      </c>
      <c r="V376" s="2" t="str">
        <f ca="1">IFERROR(__xludf.DUMMYFUNCTION("""COMPUTED_VALUE"""),"08.003.0008.0243.0118.6000.33.90.39")</f>
        <v>08.003.0008.0243.0118.6000.33.90.39</v>
      </c>
      <c r="W376" s="2" t="str">
        <f ca="1">IFERROR(__xludf.DUMMYFUNCTION("""COMPUTED_VALUE"""),"0")</f>
        <v>0</v>
      </c>
      <c r="X376" s="2"/>
      <c r="Y376" s="2"/>
      <c r="Z376" s="2"/>
      <c r="AA376" s="2"/>
      <c r="AB376" s="2"/>
      <c r="AC376" s="2"/>
      <c r="AD376" s="2"/>
      <c r="AE376" s="2"/>
      <c r="AF376" s="2"/>
    </row>
    <row r="377" spans="1:32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>
        <f ca="1">IFERROR(__xludf.DUMMYFUNCTION("""COMPUTED_VALUE"""),2023)</f>
        <v>2023</v>
      </c>
      <c r="Q377" s="2" t="str">
        <f ca="1">IFERROR(__xludf.DUMMYFUNCTION("""COMPUTED_VALUE"""),"0426")</f>
        <v>0426</v>
      </c>
      <c r="R377" s="2" t="str">
        <f ca="1">IFERROR(__xludf.DUMMYFUNCTION("""COMPUTED_VALUE"""),"11.007.0013.0392.0082.2017.33.90.36")</f>
        <v>11.007.0013.0392.0082.2017.33.90.36</v>
      </c>
      <c r="S377" s="2" t="str">
        <f ca="1">IFERROR(__xludf.DUMMYFUNCTION("""COMPUTED_VALUE"""),"00032")</f>
        <v>00032</v>
      </c>
      <c r="T377" s="2">
        <f ca="1">IFERROR(__xludf.DUMMYFUNCTION("""COMPUTED_VALUE"""),2024)</f>
        <v>2024</v>
      </c>
      <c r="U377" s="2" t="str">
        <f ca="1">IFERROR(__xludf.DUMMYFUNCTION("""COMPUTED_VALUE"""),"0509")</f>
        <v>0509</v>
      </c>
      <c r="V377" s="2" t="str">
        <f ca="1">IFERROR(__xludf.DUMMYFUNCTION("""COMPUTED_VALUE"""),"08.003.0008.0243.0118.6000.33.90.39")</f>
        <v>08.003.0008.0243.0118.6000.33.90.39</v>
      </c>
      <c r="W377" s="2" t="str">
        <f ca="1">IFERROR(__xludf.DUMMYFUNCTION("""COMPUTED_VALUE"""),"0")</f>
        <v>0</v>
      </c>
      <c r="X377" s="2"/>
      <c r="Y377" s="2"/>
      <c r="Z377" s="2"/>
      <c r="AA377" s="2"/>
      <c r="AB377" s="2"/>
      <c r="AC377" s="2"/>
      <c r="AD377" s="2"/>
      <c r="AE377" s="2"/>
      <c r="AF377" s="2"/>
    </row>
    <row r="378" spans="1:32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>
        <f ca="1">IFERROR(__xludf.DUMMYFUNCTION("""COMPUTED_VALUE"""),2023)</f>
        <v>2023</v>
      </c>
      <c r="Q378" s="2" t="str">
        <f ca="1">IFERROR(__xludf.DUMMYFUNCTION("""COMPUTED_VALUE"""),"0427")</f>
        <v>0427</v>
      </c>
      <c r="R378" s="2" t="str">
        <f ca="1">IFERROR(__xludf.DUMMYFUNCTION("""COMPUTED_VALUE"""),"11.003.0027.0812.0083.2016.33.90.36")</f>
        <v>11.003.0027.0812.0083.2016.33.90.36</v>
      </c>
      <c r="S378" s="2" t="str">
        <f ca="1">IFERROR(__xludf.DUMMYFUNCTION("""COMPUTED_VALUE"""),"00038")</f>
        <v>00038</v>
      </c>
      <c r="T378" s="2">
        <f ca="1">IFERROR(__xludf.DUMMYFUNCTION("""COMPUTED_VALUE"""),2024)</f>
        <v>2024</v>
      </c>
      <c r="U378" s="2" t="str">
        <f ca="1">IFERROR(__xludf.DUMMYFUNCTION("""COMPUTED_VALUE"""),"0515")</f>
        <v>0515</v>
      </c>
      <c r="V378" s="2" t="str">
        <f ca="1">IFERROR(__xludf.DUMMYFUNCTION("""COMPUTED_VALUE"""),"08.003.0008.0244.0118.1013.44.50.42")</f>
        <v>08.003.0008.0244.0118.1013.44.50.42</v>
      </c>
      <c r="W378" s="2" t="str">
        <f ca="1">IFERROR(__xludf.DUMMYFUNCTION("""COMPUTED_VALUE"""),"0")</f>
        <v>0</v>
      </c>
      <c r="X378" s="2"/>
      <c r="Y378" s="2"/>
      <c r="Z378" s="2"/>
      <c r="AA378" s="2"/>
      <c r="AB378" s="2"/>
      <c r="AC378" s="2"/>
      <c r="AD378" s="2"/>
      <c r="AE378" s="2"/>
      <c r="AF378" s="2"/>
    </row>
    <row r="379" spans="1:32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>
        <f ca="1">IFERROR(__xludf.DUMMYFUNCTION("""COMPUTED_VALUE"""),2023)</f>
        <v>2023</v>
      </c>
      <c r="Q379" s="2" t="str">
        <f ca="1">IFERROR(__xludf.DUMMYFUNCTION("""COMPUTED_VALUE"""),"0428")</f>
        <v>0428</v>
      </c>
      <c r="R379" s="2" t="str">
        <f ca="1">IFERROR(__xludf.DUMMYFUNCTION("""COMPUTED_VALUE"""),"06.001.0010.0301.0094.2037.33.90.36")</f>
        <v>06.001.0010.0301.0094.2037.33.90.36</v>
      </c>
      <c r="S379" s="2" t="str">
        <f ca="1">IFERROR(__xludf.DUMMYFUNCTION("""COMPUTED_VALUE"""),"00303")</f>
        <v>00303</v>
      </c>
      <c r="T379" s="2">
        <f ca="1">IFERROR(__xludf.DUMMYFUNCTION("""COMPUTED_VALUE"""),2024)</f>
        <v>2024</v>
      </c>
      <c r="U379" s="2" t="str">
        <f ca="1">IFERROR(__xludf.DUMMYFUNCTION("""COMPUTED_VALUE"""),"0516")</f>
        <v>0516</v>
      </c>
      <c r="V379" s="2" t="str">
        <f ca="1">IFERROR(__xludf.DUMMYFUNCTION("""COMPUTED_VALUE"""),"08.003.0008.0244.0118.1013.44.90.52")</f>
        <v>08.003.0008.0244.0118.1013.44.90.52</v>
      </c>
      <c r="W379" s="2" t="str">
        <f ca="1">IFERROR(__xludf.DUMMYFUNCTION("""COMPUTED_VALUE"""),"0")</f>
        <v>0</v>
      </c>
      <c r="X379" s="2"/>
      <c r="Y379" s="2"/>
      <c r="Z379" s="2"/>
      <c r="AA379" s="2"/>
      <c r="AB379" s="2"/>
      <c r="AC379" s="2"/>
      <c r="AD379" s="2"/>
      <c r="AE379" s="2"/>
      <c r="AF379" s="2"/>
    </row>
    <row r="380" spans="1:32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>
        <f ca="1">IFERROR(__xludf.DUMMYFUNCTION("""COMPUTED_VALUE"""),2023)</f>
        <v>2023</v>
      </c>
      <c r="Q380" s="2" t="str">
        <f ca="1">IFERROR(__xludf.DUMMYFUNCTION("""COMPUTED_VALUE"""),"0429")</f>
        <v>0429</v>
      </c>
      <c r="R380" s="2" t="str">
        <f ca="1">IFERROR(__xludf.DUMMYFUNCTION("""COMPUTED_VALUE"""),"06.001.0010.0301.0094.2039.33.90.36")</f>
        <v>06.001.0010.0301.0094.2039.33.90.36</v>
      </c>
      <c r="S380" s="2" t="str">
        <f ca="1">IFERROR(__xludf.DUMMYFUNCTION("""COMPUTED_VALUE"""),"04942")</f>
        <v>04942</v>
      </c>
      <c r="T380" s="2">
        <f ca="1">IFERROR(__xludf.DUMMYFUNCTION("""COMPUTED_VALUE"""),2024)</f>
        <v>2024</v>
      </c>
      <c r="U380" s="2" t="str">
        <f ca="1">IFERROR(__xludf.DUMMYFUNCTION("""COMPUTED_VALUE"""),"0517")</f>
        <v>0517</v>
      </c>
      <c r="V380" s="2" t="str">
        <f ca="1">IFERROR(__xludf.DUMMYFUNCTION("""COMPUTED_VALUE"""),"08.003.0008.0244.0118.1013.44.90.52")</f>
        <v>08.003.0008.0244.0118.1013.44.90.52</v>
      </c>
      <c r="W380" s="2" t="str">
        <f ca="1">IFERROR(__xludf.DUMMYFUNCTION("""COMPUTED_VALUE"""),"0")</f>
        <v>0</v>
      </c>
      <c r="X380" s="2"/>
      <c r="Y380" s="2"/>
      <c r="Z380" s="2"/>
      <c r="AA380" s="2"/>
      <c r="AB380" s="2"/>
      <c r="AC380" s="2"/>
      <c r="AD380" s="2"/>
      <c r="AE380" s="2"/>
      <c r="AF380" s="2"/>
    </row>
    <row r="381" spans="1:32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>
        <f ca="1">IFERROR(__xludf.DUMMYFUNCTION("""COMPUTED_VALUE"""),2023)</f>
        <v>2023</v>
      </c>
      <c r="Q381" s="2" t="str">
        <f ca="1">IFERROR(__xludf.DUMMYFUNCTION("""COMPUTED_VALUE"""),"0430")</f>
        <v>0430</v>
      </c>
      <c r="R381" s="2" t="str">
        <f ca="1">IFERROR(__xludf.DUMMYFUNCTION("""COMPUTED_VALUE"""),"06.001.0010.0305.0094.2040.33.90.36")</f>
        <v>06.001.0010.0305.0094.2040.33.90.36</v>
      </c>
      <c r="S381" s="2" t="str">
        <f ca="1">IFERROR(__xludf.DUMMYFUNCTION("""COMPUTED_VALUE"""),"04942")</f>
        <v>04942</v>
      </c>
      <c r="T381" s="2">
        <f ca="1">IFERROR(__xludf.DUMMYFUNCTION("""COMPUTED_VALUE"""),2024)</f>
        <v>2024</v>
      </c>
      <c r="U381" s="2" t="str">
        <f ca="1">IFERROR(__xludf.DUMMYFUNCTION("""COMPUTED_VALUE"""),"0519")</f>
        <v>0519</v>
      </c>
      <c r="V381" s="2" t="str">
        <f ca="1">IFERROR(__xludf.DUMMYFUNCTION("""COMPUTED_VALUE"""),"08.003.0008.0244.0118.1013.44.90.52")</f>
        <v>08.003.0008.0244.0118.1013.44.90.52</v>
      </c>
      <c r="W381" s="2" t="str">
        <f ca="1">IFERROR(__xludf.DUMMYFUNCTION("""COMPUTED_VALUE"""),"934")</f>
        <v>934</v>
      </c>
      <c r="X381" s="2"/>
      <c r="Y381" s="2"/>
      <c r="Z381" s="2"/>
      <c r="AA381" s="2"/>
      <c r="AB381" s="2"/>
      <c r="AC381" s="2"/>
      <c r="AD381" s="2"/>
      <c r="AE381" s="2"/>
      <c r="AF381" s="2"/>
    </row>
    <row r="382" spans="1:3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>
        <f ca="1">IFERROR(__xludf.DUMMYFUNCTION("""COMPUTED_VALUE"""),2023)</f>
        <v>2023</v>
      </c>
      <c r="Q382" s="2" t="str">
        <f ca="1">IFERROR(__xludf.DUMMYFUNCTION("""COMPUTED_VALUE"""),"0431")</f>
        <v>0431</v>
      </c>
      <c r="R382" s="2" t="str">
        <f ca="1">IFERROR(__xludf.DUMMYFUNCTION("""COMPUTED_VALUE"""),"06.001.0010.0302.0094.2041.33.90.36")</f>
        <v>06.001.0010.0302.0094.2041.33.90.36</v>
      </c>
      <c r="S382" s="2" t="str">
        <f ca="1">IFERROR(__xludf.DUMMYFUNCTION("""COMPUTED_VALUE"""),"00303")</f>
        <v>00303</v>
      </c>
      <c r="T382" s="2">
        <f ca="1">IFERROR(__xludf.DUMMYFUNCTION("""COMPUTED_VALUE"""),2024)</f>
        <v>2024</v>
      </c>
      <c r="U382" s="2" t="str">
        <f ca="1">IFERROR(__xludf.DUMMYFUNCTION("""COMPUTED_VALUE"""),"0521")</f>
        <v>0521</v>
      </c>
      <c r="V382" s="2" t="str">
        <f ca="1">IFERROR(__xludf.DUMMYFUNCTION("""COMPUTED_VALUE"""),"08.003.0008.0244.0118.1013.44.90.52")</f>
        <v>08.003.0008.0244.0118.1013.44.90.52</v>
      </c>
      <c r="W382" s="2" t="str">
        <f ca="1">IFERROR(__xludf.DUMMYFUNCTION("""COMPUTED_VALUE"""),"940")</f>
        <v>940</v>
      </c>
      <c r="X382" s="2"/>
      <c r="Y382" s="2"/>
      <c r="Z382" s="2"/>
      <c r="AA382" s="2"/>
      <c r="AB382" s="2"/>
      <c r="AC382" s="2"/>
      <c r="AD382" s="2"/>
      <c r="AE382" s="2"/>
      <c r="AF382" s="2"/>
    </row>
    <row r="383" spans="1:32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>
        <f ca="1">IFERROR(__xludf.DUMMYFUNCTION("""COMPUTED_VALUE"""),2023)</f>
        <v>2023</v>
      </c>
      <c r="Q383" s="2" t="str">
        <f ca="1">IFERROR(__xludf.DUMMYFUNCTION("""COMPUTED_VALUE"""),"0432")</f>
        <v>0432</v>
      </c>
      <c r="R383" s="2" t="str">
        <f ca="1">IFERROR(__xludf.DUMMYFUNCTION("""COMPUTED_VALUE"""),"06.001.0010.0302.0094.2043.33.90.36")</f>
        <v>06.001.0010.0302.0094.2043.33.90.36</v>
      </c>
      <c r="S383" s="2" t="str">
        <f ca="1">IFERROR(__xludf.DUMMYFUNCTION("""COMPUTED_VALUE"""),"04942")</f>
        <v>04942</v>
      </c>
      <c r="T383" s="2">
        <f ca="1">IFERROR(__xludf.DUMMYFUNCTION("""COMPUTED_VALUE"""),2024)</f>
        <v>2024</v>
      </c>
      <c r="U383" s="2" t="str">
        <f ca="1">IFERROR(__xludf.DUMMYFUNCTION("""COMPUTED_VALUE"""),"0522")</f>
        <v>0522</v>
      </c>
      <c r="V383" s="2" t="str">
        <f ca="1">IFERROR(__xludf.DUMMYFUNCTION("""COMPUTED_VALUE"""),"08.003.0008.0244.0118.1013.44.90.52")</f>
        <v>08.003.0008.0244.0118.1013.44.90.52</v>
      </c>
      <c r="W383" s="2" t="str">
        <f ca="1">IFERROR(__xludf.DUMMYFUNCTION("""COMPUTED_VALUE"""),"941")</f>
        <v>941</v>
      </c>
      <c r="X383" s="2"/>
      <c r="Y383" s="2"/>
      <c r="Z383" s="2"/>
      <c r="AA383" s="2"/>
      <c r="AB383" s="2"/>
      <c r="AC383" s="2"/>
      <c r="AD383" s="2"/>
      <c r="AE383" s="2"/>
      <c r="AF383" s="2"/>
    </row>
    <row r="384" spans="1:32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>
        <f ca="1">IFERROR(__xludf.DUMMYFUNCTION("""COMPUTED_VALUE"""),2023)</f>
        <v>2023</v>
      </c>
      <c r="Q384" s="2" t="str">
        <f ca="1">IFERROR(__xludf.DUMMYFUNCTION("""COMPUTED_VALUE"""),"0433")</f>
        <v>0433</v>
      </c>
      <c r="R384" s="2" t="str">
        <f ca="1">IFERROR(__xludf.DUMMYFUNCTION("""COMPUTED_VALUE"""),"06.001.0010.0304.0094.2046.33.90.36")</f>
        <v>06.001.0010.0304.0094.2046.33.90.36</v>
      </c>
      <c r="S384" s="2" t="str">
        <f ca="1">IFERROR(__xludf.DUMMYFUNCTION("""COMPUTED_VALUE"""),"04942")</f>
        <v>04942</v>
      </c>
      <c r="T384" s="2">
        <f ca="1">IFERROR(__xludf.DUMMYFUNCTION("""COMPUTED_VALUE"""),2024)</f>
        <v>2024</v>
      </c>
      <c r="U384" s="2" t="str">
        <f ca="1">IFERROR(__xludf.DUMMYFUNCTION("""COMPUTED_VALUE"""),"1163")</f>
        <v>1163</v>
      </c>
      <c r="V384" s="2" t="str">
        <f ca="1">IFERROR(__xludf.DUMMYFUNCTION("""COMPUTED_VALUE"""),"08.003.0008.0244.0118.1013.44.90.93")</f>
        <v>08.003.0008.0244.0118.1013.44.90.93</v>
      </c>
      <c r="W384" s="2" t="str">
        <f ca="1">IFERROR(__xludf.DUMMYFUNCTION("""COMPUTED_VALUE"""),"10186")</f>
        <v>10186</v>
      </c>
      <c r="X384" s="2"/>
      <c r="Y384" s="2"/>
      <c r="Z384" s="2"/>
      <c r="AA384" s="2"/>
      <c r="AB384" s="2"/>
      <c r="AC384" s="2"/>
      <c r="AD384" s="2"/>
      <c r="AE384" s="2"/>
      <c r="AF384" s="2"/>
    </row>
    <row r="385" spans="1:32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>
        <f ca="1">IFERROR(__xludf.DUMMYFUNCTION("""COMPUTED_VALUE"""),2023)</f>
        <v>2023</v>
      </c>
      <c r="Q385" s="2" t="str">
        <f ca="1">IFERROR(__xludf.DUMMYFUNCTION("""COMPUTED_VALUE"""),"0434")</f>
        <v>0434</v>
      </c>
      <c r="R385" s="2" t="str">
        <f ca="1">IFERROR(__xludf.DUMMYFUNCTION("""COMPUTED_VALUE"""),"12.001.0004.0122.0113.2129.33.90.36")</f>
        <v>12.001.0004.0122.0113.2129.33.90.36</v>
      </c>
      <c r="S385" s="2" t="str">
        <f ca="1">IFERROR(__xludf.DUMMYFUNCTION("""COMPUTED_VALUE"""),"0000")</f>
        <v>0000</v>
      </c>
      <c r="T385" s="2">
        <f ca="1">IFERROR(__xludf.DUMMYFUNCTION("""COMPUTED_VALUE"""),2024)</f>
        <v>2024</v>
      </c>
      <c r="U385" s="2" t="str">
        <f ca="1">IFERROR(__xludf.DUMMYFUNCTION("""COMPUTED_VALUE"""),"0518")</f>
        <v>0518</v>
      </c>
      <c r="V385" s="2" t="str">
        <f ca="1">IFERROR(__xludf.DUMMYFUNCTION("""COMPUTED_VALUE"""),"08.003.0008.0244.0118.2030.31.50.43")</f>
        <v>08.003.0008.0244.0118.2030.31.50.43</v>
      </c>
      <c r="W385" s="2" t="str">
        <f ca="1">IFERROR(__xludf.DUMMYFUNCTION("""COMPUTED_VALUE"""),"0")</f>
        <v>0</v>
      </c>
      <c r="X385" s="2"/>
      <c r="Y385" s="2"/>
      <c r="Z385" s="2"/>
      <c r="AA385" s="2"/>
      <c r="AB385" s="2"/>
      <c r="AC385" s="2"/>
      <c r="AD385" s="2"/>
      <c r="AE385" s="2"/>
      <c r="AF385" s="2"/>
    </row>
    <row r="386" spans="1:32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>
        <f ca="1">IFERROR(__xludf.DUMMYFUNCTION("""COMPUTED_VALUE"""),2023)</f>
        <v>2023</v>
      </c>
      <c r="Q386" s="2" t="str">
        <f ca="1">IFERROR(__xludf.DUMMYFUNCTION("""COMPUTED_VALUE"""),"0435")</f>
        <v>0435</v>
      </c>
      <c r="R386" s="2" t="str">
        <f ca="1">IFERROR(__xludf.DUMMYFUNCTION("""COMPUTED_VALUE"""),"08.001.0008.0244.0118.2029.33.90.36")</f>
        <v>08.001.0008.0244.0118.2029.33.90.36</v>
      </c>
      <c r="S386" s="2" t="str">
        <f ca="1">IFERROR(__xludf.DUMMYFUNCTION("""COMPUTED_VALUE"""),"0000")</f>
        <v>0000</v>
      </c>
      <c r="T386" s="2">
        <f ca="1">IFERROR(__xludf.DUMMYFUNCTION("""COMPUTED_VALUE"""),2024)</f>
        <v>2024</v>
      </c>
      <c r="U386" s="2" t="str">
        <f ca="1">IFERROR(__xludf.DUMMYFUNCTION("""COMPUTED_VALUE"""),"0524")</f>
        <v>0524</v>
      </c>
      <c r="V386" s="2" t="str">
        <f ca="1">IFERROR(__xludf.DUMMYFUNCTION("""COMPUTED_VALUE"""),"08.003.0008.0244.0118.2030.31.90.11")</f>
        <v>08.003.0008.0244.0118.2030.31.90.11</v>
      </c>
      <c r="W386" s="2" t="str">
        <f ca="1">IFERROR(__xludf.DUMMYFUNCTION("""COMPUTED_VALUE"""),"0")</f>
        <v>0</v>
      </c>
      <c r="X386" s="2"/>
      <c r="Y386" s="2"/>
      <c r="Z386" s="2"/>
      <c r="AA386" s="2"/>
      <c r="AB386" s="2"/>
      <c r="AC386" s="2"/>
      <c r="AD386" s="2"/>
      <c r="AE386" s="2"/>
      <c r="AF386" s="2"/>
    </row>
    <row r="387" spans="1:32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>
        <f ca="1">IFERROR(__xludf.DUMMYFUNCTION("""COMPUTED_VALUE"""),2023)</f>
        <v>2023</v>
      </c>
      <c r="Q387" s="2" t="str">
        <f ca="1">IFERROR(__xludf.DUMMYFUNCTION("""COMPUTED_VALUE"""),"0436")</f>
        <v>0436</v>
      </c>
      <c r="R387" s="2" t="str">
        <f ca="1">IFERROR(__xludf.DUMMYFUNCTION("""COMPUTED_VALUE"""),"08.003.0008.0244.0118.2030.33.90.36")</f>
        <v>08.003.0008.0244.0118.2030.33.90.36</v>
      </c>
      <c r="S387" s="2" t="str">
        <f ca="1">IFERROR(__xludf.DUMMYFUNCTION("""COMPUTED_VALUE"""),"0000")</f>
        <v>0000</v>
      </c>
      <c r="T387" s="2">
        <f ca="1">IFERROR(__xludf.DUMMYFUNCTION("""COMPUTED_VALUE"""),2024)</f>
        <v>2024</v>
      </c>
      <c r="U387" s="2" t="str">
        <f ca="1">IFERROR(__xludf.DUMMYFUNCTION("""COMPUTED_VALUE"""),"0538")</f>
        <v>0538</v>
      </c>
      <c r="V387" s="2" t="str">
        <f ca="1">IFERROR(__xludf.DUMMYFUNCTION("""COMPUTED_VALUE"""),"08.003.0008.0244.0118.2030.33.50.43")</f>
        <v>08.003.0008.0244.0118.2030.33.50.43</v>
      </c>
      <c r="W387" s="2" t="str">
        <f ca="1">IFERROR(__xludf.DUMMYFUNCTION("""COMPUTED_VALUE"""),"934")</f>
        <v>934</v>
      </c>
      <c r="X387" s="2"/>
      <c r="Y387" s="2"/>
      <c r="Z387" s="2"/>
      <c r="AA387" s="2"/>
      <c r="AB387" s="2"/>
      <c r="AC387" s="2"/>
      <c r="AD387" s="2"/>
      <c r="AE387" s="2"/>
      <c r="AF387" s="2"/>
    </row>
    <row r="388" spans="1:32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>
        <f ca="1">IFERROR(__xludf.DUMMYFUNCTION("""COMPUTED_VALUE"""),2023)</f>
        <v>2023</v>
      </c>
      <c r="Q388" s="2" t="str">
        <f ca="1">IFERROR(__xludf.DUMMYFUNCTION("""COMPUTED_VALUE"""),"0438")</f>
        <v>0438</v>
      </c>
      <c r="R388" s="2" t="str">
        <f ca="1">IFERROR(__xludf.DUMMYFUNCTION("""COMPUTED_VALUE"""),"08.003.0008.0244.0118.2030.33.90.36")</f>
        <v>08.003.0008.0244.0118.2030.33.90.36</v>
      </c>
      <c r="S388" s="2" t="str">
        <f ca="1">IFERROR(__xludf.DUMMYFUNCTION("""COMPUTED_VALUE"""),"00940")</f>
        <v>00940</v>
      </c>
      <c r="T388" s="2">
        <f ca="1">IFERROR(__xludf.DUMMYFUNCTION("""COMPUTED_VALUE"""),2024)</f>
        <v>2024</v>
      </c>
      <c r="U388" s="2" t="str">
        <f ca="1">IFERROR(__xludf.DUMMYFUNCTION("""COMPUTED_VALUE"""),"0525")</f>
        <v>0525</v>
      </c>
      <c r="V388" s="2" t="str">
        <f ca="1">IFERROR(__xludf.DUMMYFUNCTION("""COMPUTED_VALUE"""),"08.003.0008.0244.0118.2030.33.71.70")</f>
        <v>08.003.0008.0244.0118.2030.33.71.70</v>
      </c>
      <c r="W388" s="2" t="str">
        <f ca="1">IFERROR(__xludf.DUMMYFUNCTION("""COMPUTED_VALUE"""),"934")</f>
        <v>934</v>
      </c>
      <c r="X388" s="2"/>
      <c r="Y388" s="2"/>
      <c r="Z388" s="2"/>
      <c r="AA388" s="2"/>
      <c r="AB388" s="2"/>
      <c r="AC388" s="2"/>
      <c r="AD388" s="2"/>
      <c r="AE388" s="2"/>
      <c r="AF388" s="2"/>
    </row>
    <row r="389" spans="1:32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>
        <f ca="1">IFERROR(__xludf.DUMMYFUNCTION("""COMPUTED_VALUE"""),2023)</f>
        <v>2023</v>
      </c>
      <c r="Q389" s="2" t="str">
        <f ca="1">IFERROR(__xludf.DUMMYFUNCTION("""COMPUTED_VALUE"""),"0439")</f>
        <v>0439</v>
      </c>
      <c r="R389" s="2" t="str">
        <f ca="1">IFERROR(__xludf.DUMMYFUNCTION("""COMPUTED_VALUE"""),"08.007.0008.0241.0118.2031.33.90.36")</f>
        <v>08.007.0008.0241.0118.2031.33.90.36</v>
      </c>
      <c r="S389" s="2" t="str">
        <f ca="1">IFERROR(__xludf.DUMMYFUNCTION("""COMPUTED_VALUE"""),"0000")</f>
        <v>0000</v>
      </c>
      <c r="T389" s="2">
        <f ca="1">IFERROR(__xludf.DUMMYFUNCTION("""COMPUTED_VALUE"""),2024)</f>
        <v>2024</v>
      </c>
      <c r="U389" s="2" t="str">
        <f ca="1">IFERROR(__xludf.DUMMYFUNCTION("""COMPUTED_VALUE"""),"0526")</f>
        <v>0526</v>
      </c>
      <c r="V389" s="2" t="str">
        <f ca="1">IFERROR(__xludf.DUMMYFUNCTION("""COMPUTED_VALUE"""),"08.003.0008.0244.0118.2030.33.72.30")</f>
        <v>08.003.0008.0244.0118.2030.33.72.30</v>
      </c>
      <c r="W389" s="2" t="str">
        <f ca="1">IFERROR(__xludf.DUMMYFUNCTION("""COMPUTED_VALUE"""),"0")</f>
        <v>0</v>
      </c>
      <c r="X389" s="2"/>
      <c r="Y389" s="2"/>
      <c r="Z389" s="2"/>
      <c r="AA389" s="2"/>
      <c r="AB389" s="2"/>
      <c r="AC389" s="2"/>
      <c r="AD389" s="2"/>
      <c r="AE389" s="2"/>
      <c r="AF389" s="2"/>
    </row>
    <row r="390" spans="1:32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>
        <f ca="1">IFERROR(__xludf.DUMMYFUNCTION("""COMPUTED_VALUE"""),2023)</f>
        <v>2023</v>
      </c>
      <c r="Q390" s="2" t="str">
        <f ca="1">IFERROR(__xludf.DUMMYFUNCTION("""COMPUTED_VALUE"""),"0440")</f>
        <v>0440</v>
      </c>
      <c r="R390" s="2" t="str">
        <f ca="1">IFERROR(__xludf.DUMMYFUNCTION("""COMPUTED_VALUE"""),"08.003.0008.0244.0118.2032.33.90.36")</f>
        <v>08.003.0008.0244.0118.2032.33.90.36</v>
      </c>
      <c r="S390" s="2" t="str">
        <f ca="1">IFERROR(__xludf.DUMMYFUNCTION("""COMPUTED_VALUE"""),"0000")</f>
        <v>0000</v>
      </c>
      <c r="T390" s="2">
        <f ca="1">IFERROR(__xludf.DUMMYFUNCTION("""COMPUTED_VALUE"""),2024)</f>
        <v>2024</v>
      </c>
      <c r="U390" s="2" t="str">
        <f ca="1">IFERROR(__xludf.DUMMYFUNCTION("""COMPUTED_VALUE"""),"1164")</f>
        <v>1164</v>
      </c>
      <c r="V390" s="2" t="str">
        <f ca="1">IFERROR(__xludf.DUMMYFUNCTION("""COMPUTED_VALUE"""),"08.003.0008.0244.0118.2030.33.72.32")</f>
        <v>08.003.0008.0244.0118.2030.33.72.32</v>
      </c>
      <c r="W390" s="2" t="str">
        <f ca="1">IFERROR(__xludf.DUMMYFUNCTION("""COMPUTED_VALUE"""),"0")</f>
        <v>0</v>
      </c>
      <c r="X390" s="2"/>
      <c r="Y390" s="2"/>
      <c r="Z390" s="2"/>
      <c r="AA390" s="2"/>
      <c r="AB390" s="2"/>
      <c r="AC390" s="2"/>
      <c r="AD390" s="2"/>
      <c r="AE390" s="2"/>
      <c r="AF390" s="2"/>
    </row>
    <row r="391" spans="1:32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>
        <f ca="1">IFERROR(__xludf.DUMMYFUNCTION("""COMPUTED_VALUE"""),2023)</f>
        <v>2023</v>
      </c>
      <c r="Q391" s="2" t="str">
        <f ca="1">IFERROR(__xludf.DUMMYFUNCTION("""COMPUTED_VALUE"""),"0441")</f>
        <v>0441</v>
      </c>
      <c r="R391" s="2" t="str">
        <f ca="1">IFERROR(__xludf.DUMMYFUNCTION("""COMPUTED_VALUE"""),"08.005.0008.0243.0118.6001.33.90.36")</f>
        <v>08.005.0008.0243.0118.6001.33.90.36</v>
      </c>
      <c r="S391" s="2" t="str">
        <f ca="1">IFERROR(__xludf.DUMMYFUNCTION("""COMPUTED_VALUE"""),"0000")</f>
        <v>0000</v>
      </c>
      <c r="T391" s="2">
        <f ca="1">IFERROR(__xludf.DUMMYFUNCTION("""COMPUTED_VALUE"""),2024)</f>
        <v>2024</v>
      </c>
      <c r="U391" s="2" t="str">
        <f ca="1">IFERROR(__xludf.DUMMYFUNCTION("""COMPUTED_VALUE"""),"1165")</f>
        <v>1165</v>
      </c>
      <c r="V391" s="2" t="str">
        <f ca="1">IFERROR(__xludf.DUMMYFUNCTION("""COMPUTED_VALUE"""),"08.003.0008.0244.0118.2030.33.72.39")</f>
        <v>08.003.0008.0244.0118.2030.33.72.39</v>
      </c>
      <c r="W391" s="2" t="str">
        <f ca="1">IFERROR(__xludf.DUMMYFUNCTION("""COMPUTED_VALUE"""),"0")</f>
        <v>0</v>
      </c>
      <c r="X391" s="2"/>
      <c r="Y391" s="2"/>
      <c r="Z391" s="2"/>
      <c r="AA391" s="2"/>
      <c r="AB391" s="2"/>
      <c r="AC391" s="2"/>
      <c r="AD391" s="2"/>
      <c r="AE391" s="2"/>
      <c r="AF391" s="2"/>
    </row>
    <row r="392" spans="1:3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>
        <f ca="1">IFERROR(__xludf.DUMMYFUNCTION("""COMPUTED_VALUE"""),2023)</f>
        <v>2023</v>
      </c>
      <c r="Q392" s="2" t="str">
        <f ca="1">IFERROR(__xludf.DUMMYFUNCTION("""COMPUTED_VALUE"""),"0443")</f>
        <v>0443</v>
      </c>
      <c r="R392" s="2" t="str">
        <f ca="1">IFERROR(__xludf.DUMMYFUNCTION("""COMPUTED_VALUE"""),"18.003.0015.0121.0140.1030.33.90.36")</f>
        <v>18.003.0015.0121.0140.1030.33.90.36</v>
      </c>
      <c r="S392" s="2" t="str">
        <f ca="1">IFERROR(__xludf.DUMMYFUNCTION("""COMPUTED_VALUE"""),"0000")</f>
        <v>0000</v>
      </c>
      <c r="T392" s="2">
        <f ca="1">IFERROR(__xludf.DUMMYFUNCTION("""COMPUTED_VALUE"""),2024)</f>
        <v>2024</v>
      </c>
      <c r="U392" s="2" t="str">
        <f ca="1">IFERROR(__xludf.DUMMYFUNCTION("""COMPUTED_VALUE"""),"1166")</f>
        <v>1166</v>
      </c>
      <c r="V392" s="2" t="str">
        <f ca="1">IFERROR(__xludf.DUMMYFUNCTION("""COMPUTED_VALUE"""),"08.003.0008.0244.0118.2030.33.90.14")</f>
        <v>08.003.0008.0244.0118.2030.33.90.14</v>
      </c>
      <c r="W392" s="2" t="str">
        <f ca="1">IFERROR(__xludf.DUMMYFUNCTION("""COMPUTED_VALUE"""),"0")</f>
        <v>0</v>
      </c>
      <c r="X392" s="2"/>
      <c r="Y392" s="2"/>
      <c r="Z392" s="2"/>
      <c r="AA392" s="2"/>
      <c r="AB392" s="2"/>
      <c r="AC392" s="2"/>
      <c r="AD392" s="2"/>
      <c r="AE392" s="2"/>
      <c r="AF392" s="2"/>
    </row>
    <row r="393" spans="1:32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>
        <f ca="1">IFERROR(__xludf.DUMMYFUNCTION("""COMPUTED_VALUE"""),2023)</f>
        <v>2023</v>
      </c>
      <c r="Q393" s="2" t="str">
        <f ca="1">IFERROR(__xludf.DUMMYFUNCTION("""COMPUTED_VALUE"""),"0444")</f>
        <v>0444</v>
      </c>
      <c r="R393" s="2" t="str">
        <f ca="1">IFERROR(__xludf.DUMMYFUNCTION("""COMPUTED_VALUE"""),"18.003.0015.0121.0140.1030.33.90.36")</f>
        <v>18.003.0015.0121.0140.1030.33.90.36</v>
      </c>
      <c r="S393" s="2" t="str">
        <f ca="1">IFERROR(__xludf.DUMMYFUNCTION("""COMPUTED_VALUE"""),"00509")</f>
        <v>00509</v>
      </c>
      <c r="T393" s="2">
        <f ca="1">IFERROR(__xludf.DUMMYFUNCTION("""COMPUTED_VALUE"""),2024)</f>
        <v>2024</v>
      </c>
      <c r="U393" s="2" t="str">
        <f ca="1">IFERROR(__xludf.DUMMYFUNCTION("""COMPUTED_VALUE"""),"0527")</f>
        <v>0527</v>
      </c>
      <c r="V393" s="2" t="str">
        <f ca="1">IFERROR(__xludf.DUMMYFUNCTION("""COMPUTED_VALUE"""),"08.003.0008.0244.0118.2030.33.90.30")</f>
        <v>08.003.0008.0244.0118.2030.33.90.30</v>
      </c>
      <c r="W393" s="2" t="str">
        <f ca="1">IFERROR(__xludf.DUMMYFUNCTION("""COMPUTED_VALUE"""),"0")</f>
        <v>0</v>
      </c>
      <c r="X393" s="2"/>
      <c r="Y393" s="2"/>
      <c r="Z393" s="2"/>
      <c r="AA393" s="2"/>
      <c r="AB393" s="2"/>
      <c r="AC393" s="2"/>
      <c r="AD393" s="2"/>
      <c r="AE393" s="2"/>
      <c r="AF393" s="2"/>
    </row>
    <row r="394" spans="1:32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>
        <f ca="1">IFERROR(__xludf.DUMMYFUNCTION("""COMPUTED_VALUE"""),2023)</f>
        <v>2023</v>
      </c>
      <c r="Q394" s="2" t="str">
        <f ca="1">IFERROR(__xludf.DUMMYFUNCTION("""COMPUTED_VALUE"""),"0445")</f>
        <v>0445</v>
      </c>
      <c r="R394" s="2" t="str">
        <f ca="1">IFERROR(__xludf.DUMMYFUNCTION("""COMPUTED_VALUE"""),"18.004.0015.0182.0140.1076.33.90.36")</f>
        <v>18.004.0015.0182.0140.1076.33.90.36</v>
      </c>
      <c r="S394" s="2" t="str">
        <f ca="1">IFERROR(__xludf.DUMMYFUNCTION("""COMPUTED_VALUE"""),"0000")</f>
        <v>0000</v>
      </c>
      <c r="T394" s="2">
        <f ca="1">IFERROR(__xludf.DUMMYFUNCTION("""COMPUTED_VALUE"""),2024)</f>
        <v>2024</v>
      </c>
      <c r="U394" s="2" t="str">
        <f ca="1">IFERROR(__xludf.DUMMYFUNCTION("""COMPUTED_VALUE"""),"0528")</f>
        <v>0528</v>
      </c>
      <c r="V394" s="2" t="str">
        <f ca="1">IFERROR(__xludf.DUMMYFUNCTION("""COMPUTED_VALUE"""),"08.003.0008.0244.0118.2030.33.90.30")</f>
        <v>08.003.0008.0244.0118.2030.33.90.30</v>
      </c>
      <c r="W394" s="2" t="str">
        <f ca="1">IFERROR(__xludf.DUMMYFUNCTION("""COMPUTED_VALUE"""),"0")</f>
        <v>0</v>
      </c>
      <c r="X394" s="2"/>
      <c r="Y394" s="2"/>
      <c r="Z394" s="2"/>
      <c r="AA394" s="2"/>
      <c r="AB394" s="2"/>
      <c r="AC394" s="2"/>
      <c r="AD394" s="2"/>
      <c r="AE394" s="2"/>
      <c r="AF394" s="2"/>
    </row>
    <row r="395" spans="1:32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>
        <f ca="1">IFERROR(__xludf.DUMMYFUNCTION("""COMPUTED_VALUE"""),2023)</f>
        <v>2023</v>
      </c>
      <c r="Q395" s="2" t="str">
        <f ca="1">IFERROR(__xludf.DUMMYFUNCTION("""COMPUTED_VALUE"""),"0446")</f>
        <v>0446</v>
      </c>
      <c r="R395" s="2" t="str">
        <f ca="1">IFERROR(__xludf.DUMMYFUNCTION("""COMPUTED_VALUE"""),"18.004.0015.0182.0140.1076.33.90.36")</f>
        <v>18.004.0015.0182.0140.1076.33.90.36</v>
      </c>
      <c r="S395" s="2" t="str">
        <f ca="1">IFERROR(__xludf.DUMMYFUNCTION("""COMPUTED_VALUE"""),"00509")</f>
        <v>00509</v>
      </c>
      <c r="T395" s="2">
        <f ca="1">IFERROR(__xludf.DUMMYFUNCTION("""COMPUTED_VALUE"""),2024)</f>
        <v>2024</v>
      </c>
      <c r="U395" s="2" t="str">
        <f ca="1">IFERROR(__xludf.DUMMYFUNCTION("""COMPUTED_VALUE"""),"0539")</f>
        <v>0539</v>
      </c>
      <c r="V395" s="2" t="str">
        <f ca="1">IFERROR(__xludf.DUMMYFUNCTION("""COMPUTED_VALUE"""),"08.003.0008.0244.0118.2030.33.90.30")</f>
        <v>08.003.0008.0244.0118.2030.33.90.30</v>
      </c>
      <c r="W395" s="2" t="str">
        <f ca="1">IFERROR(__xludf.DUMMYFUNCTION("""COMPUTED_VALUE"""),"934")</f>
        <v>934</v>
      </c>
      <c r="X395" s="2"/>
      <c r="Y395" s="2"/>
      <c r="Z395" s="2"/>
      <c r="AA395" s="2"/>
      <c r="AB395" s="2"/>
      <c r="AC395" s="2"/>
      <c r="AD395" s="2"/>
      <c r="AE395" s="2"/>
      <c r="AF395" s="2"/>
    </row>
    <row r="396" spans="1:32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>
        <f ca="1">IFERROR(__xludf.DUMMYFUNCTION("""COMPUTED_VALUE"""),2023)</f>
        <v>2023</v>
      </c>
      <c r="Q396" s="2" t="str">
        <f ca="1">IFERROR(__xludf.DUMMYFUNCTION("""COMPUTED_VALUE"""),"0447")</f>
        <v>0447</v>
      </c>
      <c r="R396" s="2" t="str">
        <f ca="1">IFERROR(__xludf.DUMMYFUNCTION("""COMPUTED_VALUE"""),"18.001.0004.0121.0140.2023.33.90.36")</f>
        <v>18.001.0004.0121.0140.2023.33.90.36</v>
      </c>
      <c r="S396" s="2" t="str">
        <f ca="1">IFERROR(__xludf.DUMMYFUNCTION("""COMPUTED_VALUE"""),"0000")</f>
        <v>0000</v>
      </c>
      <c r="T396" s="2">
        <f ca="1">IFERROR(__xludf.DUMMYFUNCTION("""COMPUTED_VALUE"""),2024)</f>
        <v>2024</v>
      </c>
      <c r="U396" s="2" t="str">
        <f ca="1">IFERROR(__xludf.DUMMYFUNCTION("""COMPUTED_VALUE"""),"0549")</f>
        <v>0549</v>
      </c>
      <c r="V396" s="2" t="str">
        <f ca="1">IFERROR(__xludf.DUMMYFUNCTION("""COMPUTED_VALUE"""),"08.003.0008.0244.0118.2030.33.90.30")</f>
        <v>08.003.0008.0244.0118.2030.33.90.30</v>
      </c>
      <c r="W396" s="2" t="str">
        <f ca="1">IFERROR(__xludf.DUMMYFUNCTION("""COMPUTED_VALUE"""),"940")</f>
        <v>940</v>
      </c>
      <c r="X396" s="2"/>
      <c r="Y396" s="2"/>
      <c r="Z396" s="2"/>
      <c r="AA396" s="2"/>
      <c r="AB396" s="2"/>
      <c r="AC396" s="2"/>
      <c r="AD396" s="2"/>
      <c r="AE396" s="2"/>
      <c r="AF396" s="2"/>
    </row>
    <row r="397" spans="1:32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>
        <f ca="1">IFERROR(__xludf.DUMMYFUNCTION("""COMPUTED_VALUE"""),2023)</f>
        <v>2023</v>
      </c>
      <c r="Q397" s="2" t="str">
        <f ca="1">IFERROR(__xludf.DUMMYFUNCTION("""COMPUTED_VALUE"""),"0448")</f>
        <v>0448</v>
      </c>
      <c r="R397" s="2" t="str">
        <f ca="1">IFERROR(__xludf.DUMMYFUNCTION("""COMPUTED_VALUE"""),"18.002.0006.0181.0140.2024.33.90.36")</f>
        <v>18.002.0006.0181.0140.2024.33.90.36</v>
      </c>
      <c r="S397" s="2" t="str">
        <f ca="1">IFERROR(__xludf.DUMMYFUNCTION("""COMPUTED_VALUE"""),"0000")</f>
        <v>0000</v>
      </c>
      <c r="T397" s="2">
        <f ca="1">IFERROR(__xludf.DUMMYFUNCTION("""COMPUTED_VALUE"""),2024)</f>
        <v>2024</v>
      </c>
      <c r="U397" s="2" t="str">
        <f ca="1">IFERROR(__xludf.DUMMYFUNCTION("""COMPUTED_VALUE"""),"0554")</f>
        <v>0554</v>
      </c>
      <c r="V397" s="2" t="str">
        <f ca="1">IFERROR(__xludf.DUMMYFUNCTION("""COMPUTED_VALUE"""),"08.003.0008.0244.0118.2030.33.90.30")</f>
        <v>08.003.0008.0244.0118.2030.33.90.30</v>
      </c>
      <c r="W397" s="2" t="str">
        <f ca="1">IFERROR(__xludf.DUMMYFUNCTION("""COMPUTED_VALUE"""),"941")</f>
        <v>941</v>
      </c>
      <c r="X397" s="2"/>
      <c r="Y397" s="2"/>
      <c r="Z397" s="2"/>
      <c r="AA397" s="2"/>
      <c r="AB397" s="2"/>
      <c r="AC397" s="2"/>
      <c r="AD397" s="2"/>
      <c r="AE397" s="2"/>
      <c r="AF397" s="2"/>
    </row>
    <row r="398" spans="1:32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>
        <f ca="1">IFERROR(__xludf.DUMMYFUNCTION("""COMPUTED_VALUE"""),2023)</f>
        <v>2023</v>
      </c>
      <c r="Q398" s="2" t="str">
        <f ca="1">IFERROR(__xludf.DUMMYFUNCTION("""COMPUTED_VALUE"""),"0449")</f>
        <v>0449</v>
      </c>
      <c r="R398" s="2" t="str">
        <f ca="1">IFERROR(__xludf.DUMMYFUNCTION("""COMPUTED_VALUE"""),"18.002.0006.0181.0140.2024.33.90.36")</f>
        <v>18.002.0006.0181.0140.2024.33.90.36</v>
      </c>
      <c r="S398" s="2" t="str">
        <f ca="1">IFERROR(__xludf.DUMMYFUNCTION("""COMPUTED_VALUE"""),"01011")</f>
        <v>01011</v>
      </c>
      <c r="T398" s="2">
        <f ca="1">IFERROR(__xludf.DUMMYFUNCTION("""COMPUTED_VALUE"""),2024)</f>
        <v>2024</v>
      </c>
      <c r="U398" s="2" t="str">
        <f ca="1">IFERROR(__xludf.DUMMYFUNCTION("""COMPUTED_VALUE"""),"0557")</f>
        <v>0557</v>
      </c>
      <c r="V398" s="2" t="str">
        <f ca="1">IFERROR(__xludf.DUMMYFUNCTION("""COMPUTED_VALUE"""),"08.003.0008.0244.0118.2030.33.90.30")</f>
        <v>08.003.0008.0244.0118.2030.33.90.30</v>
      </c>
      <c r="W398" s="2" t="str">
        <f ca="1">IFERROR(__xludf.DUMMYFUNCTION("""COMPUTED_VALUE"""),"9381")</f>
        <v>9381</v>
      </c>
      <c r="X398" s="2"/>
      <c r="Y398" s="2"/>
      <c r="Z398" s="2"/>
      <c r="AA398" s="2"/>
      <c r="AB398" s="2"/>
      <c r="AC398" s="2"/>
      <c r="AD398" s="2"/>
      <c r="AE398" s="2"/>
      <c r="AF398" s="2"/>
    </row>
    <row r="399" spans="1:32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>
        <f ca="1">IFERROR(__xludf.DUMMYFUNCTION("""COMPUTED_VALUE"""),2023)</f>
        <v>2023</v>
      </c>
      <c r="Q399" s="2" t="str">
        <f ca="1">IFERROR(__xludf.DUMMYFUNCTION("""COMPUTED_VALUE"""),"0450")</f>
        <v>0450</v>
      </c>
      <c r="R399" s="2" t="str">
        <f ca="1">IFERROR(__xludf.DUMMYFUNCTION("""COMPUTED_VALUE"""),"18.002.0006.0182.0140.2025.33.90.36")</f>
        <v>18.002.0006.0182.0140.2025.33.90.36</v>
      </c>
      <c r="S399" s="2" t="str">
        <f ca="1">IFERROR(__xludf.DUMMYFUNCTION("""COMPUTED_VALUE"""),"0000")</f>
        <v>0000</v>
      </c>
      <c r="T399" s="2">
        <f ca="1">IFERROR(__xludf.DUMMYFUNCTION("""COMPUTED_VALUE"""),2024)</f>
        <v>2024</v>
      </c>
      <c r="U399" s="2" t="str">
        <f ca="1">IFERROR(__xludf.DUMMYFUNCTION("""COMPUTED_VALUE"""),"0561")</f>
        <v>0561</v>
      </c>
      <c r="V399" s="2" t="str">
        <f ca="1">IFERROR(__xludf.DUMMYFUNCTION("""COMPUTED_VALUE"""),"08.003.0008.0244.0118.2030.33.90.30")</f>
        <v>08.003.0008.0244.0118.2030.33.90.30</v>
      </c>
      <c r="W399" s="2" t="str">
        <f ca="1">IFERROR(__xludf.DUMMYFUNCTION("""COMPUTED_VALUE"""),"10184")</f>
        <v>10184</v>
      </c>
      <c r="X399" s="2"/>
      <c r="Y399" s="2"/>
      <c r="Z399" s="2"/>
      <c r="AA399" s="2"/>
      <c r="AB399" s="2"/>
      <c r="AC399" s="2"/>
      <c r="AD399" s="2"/>
      <c r="AE399" s="2"/>
      <c r="AF399" s="2"/>
    </row>
    <row r="400" spans="1:32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>
        <f ca="1">IFERROR(__xludf.DUMMYFUNCTION("""COMPUTED_VALUE"""),2023)</f>
        <v>2023</v>
      </c>
      <c r="Q400" s="2" t="str">
        <f ca="1">IFERROR(__xludf.DUMMYFUNCTION("""COMPUTED_VALUE"""),"0451")</f>
        <v>0451</v>
      </c>
      <c r="R400" s="2" t="str">
        <f ca="1">IFERROR(__xludf.DUMMYFUNCTION("""COMPUTED_VALUE"""),"18.003.0015.0452.0140.2027.33.90.36")</f>
        <v>18.003.0015.0452.0140.2027.33.90.36</v>
      </c>
      <c r="S400" s="2" t="str">
        <f ca="1">IFERROR(__xludf.DUMMYFUNCTION("""COMPUTED_VALUE"""),"0000")</f>
        <v>0000</v>
      </c>
      <c r="T400" s="2">
        <f ca="1">IFERROR(__xludf.DUMMYFUNCTION("""COMPUTED_VALUE"""),2024)</f>
        <v>2024</v>
      </c>
      <c r="U400" s="2" t="str">
        <f ca="1">IFERROR(__xludf.DUMMYFUNCTION("""COMPUTED_VALUE"""),"1167")</f>
        <v>1167</v>
      </c>
      <c r="V400" s="2" t="str">
        <f ca="1">IFERROR(__xludf.DUMMYFUNCTION("""COMPUTED_VALUE"""),"08.003.0008.0244.0118.2030.33.90.31")</f>
        <v>08.003.0008.0244.0118.2030.33.90.31</v>
      </c>
      <c r="W400" s="2" t="str">
        <f ca="1">IFERROR(__xludf.DUMMYFUNCTION("""COMPUTED_VALUE"""),"10186")</f>
        <v>10186</v>
      </c>
      <c r="X400" s="2"/>
      <c r="Y400" s="2"/>
      <c r="Z400" s="2"/>
      <c r="AA400" s="2"/>
      <c r="AB400" s="2"/>
      <c r="AC400" s="2"/>
      <c r="AD400" s="2"/>
      <c r="AE400" s="2"/>
      <c r="AF400" s="2"/>
    </row>
    <row r="401" spans="1:32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>
        <f ca="1">IFERROR(__xludf.DUMMYFUNCTION("""COMPUTED_VALUE"""),2023)</f>
        <v>2023</v>
      </c>
      <c r="Q401" s="2" t="str">
        <f ca="1">IFERROR(__xludf.DUMMYFUNCTION("""COMPUTED_VALUE"""),"0452")</f>
        <v>0452</v>
      </c>
      <c r="R401" s="2" t="str">
        <f ca="1">IFERROR(__xludf.DUMMYFUNCTION("""COMPUTED_VALUE"""),"18.003.0015.0452.0140.2027.33.90.36")</f>
        <v>18.003.0015.0452.0140.2027.33.90.36</v>
      </c>
      <c r="S401" s="2" t="str">
        <f ca="1">IFERROR(__xludf.DUMMYFUNCTION("""COMPUTED_VALUE"""),"00509")</f>
        <v>00509</v>
      </c>
      <c r="T401" s="2">
        <f ca="1">IFERROR(__xludf.DUMMYFUNCTION("""COMPUTED_VALUE"""),2024)</f>
        <v>2024</v>
      </c>
      <c r="U401" s="2" t="str">
        <f ca="1">IFERROR(__xludf.DUMMYFUNCTION("""COMPUTED_VALUE"""),"0529")</f>
        <v>0529</v>
      </c>
      <c r="V401" s="2" t="str">
        <f ca="1">IFERROR(__xludf.DUMMYFUNCTION("""COMPUTED_VALUE"""),"08.003.0008.0244.0118.2030.33.90.32")</f>
        <v>08.003.0008.0244.0118.2030.33.90.32</v>
      </c>
      <c r="W401" s="2" t="str">
        <f ca="1">IFERROR(__xludf.DUMMYFUNCTION("""COMPUTED_VALUE"""),"0")</f>
        <v>0</v>
      </c>
      <c r="X401" s="2"/>
      <c r="Y401" s="2"/>
      <c r="Z401" s="2"/>
      <c r="AA401" s="2"/>
      <c r="AB401" s="2"/>
      <c r="AC401" s="2"/>
      <c r="AD401" s="2"/>
      <c r="AE401" s="2"/>
      <c r="AF401" s="2"/>
    </row>
    <row r="402" spans="1:3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>
        <f ca="1">IFERROR(__xludf.DUMMYFUNCTION("""COMPUTED_VALUE"""),2023)</f>
        <v>2023</v>
      </c>
      <c r="Q402" s="2" t="str">
        <f ca="1">IFERROR(__xludf.DUMMYFUNCTION("""COMPUTED_VALUE"""),"0453")</f>
        <v>0453</v>
      </c>
      <c r="R402" s="2" t="str">
        <f ca="1">IFERROR(__xludf.DUMMYFUNCTION("""COMPUTED_VALUE"""),"18.004.0006.0181.0140.2142.33.90.36")</f>
        <v>18.004.0006.0181.0140.2142.33.90.36</v>
      </c>
      <c r="S402" s="2" t="str">
        <f ca="1">IFERROR(__xludf.DUMMYFUNCTION("""COMPUTED_VALUE"""),"0000")</f>
        <v>0000</v>
      </c>
      <c r="T402" s="2">
        <f ca="1">IFERROR(__xludf.DUMMYFUNCTION("""COMPUTED_VALUE"""),2024)</f>
        <v>2024</v>
      </c>
      <c r="U402" s="2" t="str">
        <f ca="1">IFERROR(__xludf.DUMMYFUNCTION("""COMPUTED_VALUE"""),"0555")</f>
        <v>0555</v>
      </c>
      <c r="V402" s="2" t="str">
        <f ca="1">IFERROR(__xludf.DUMMYFUNCTION("""COMPUTED_VALUE"""),"08.003.0008.0244.0118.2030.33.90.32")</f>
        <v>08.003.0008.0244.0118.2030.33.90.32</v>
      </c>
      <c r="W402" s="2" t="str">
        <f ca="1">IFERROR(__xludf.DUMMYFUNCTION("""COMPUTED_VALUE"""),"941")</f>
        <v>941</v>
      </c>
      <c r="X402" s="2"/>
      <c r="Y402" s="2"/>
      <c r="Z402" s="2"/>
      <c r="AA402" s="2"/>
      <c r="AB402" s="2"/>
      <c r="AC402" s="2"/>
      <c r="AD402" s="2"/>
      <c r="AE402" s="2"/>
      <c r="AF402" s="2"/>
    </row>
    <row r="403" spans="1:32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>
        <f ca="1">IFERROR(__xludf.DUMMYFUNCTION("""COMPUTED_VALUE"""),2023)</f>
        <v>2023</v>
      </c>
      <c r="Q403" s="2" t="str">
        <f ca="1">IFERROR(__xludf.DUMMYFUNCTION("""COMPUTED_VALUE"""),"0454")</f>
        <v>0454</v>
      </c>
      <c r="R403" s="2" t="str">
        <f ca="1">IFERROR(__xludf.DUMMYFUNCTION("""COMPUTED_VALUE"""),"18.004.0006.0182.0140.2143.33.90.36")</f>
        <v>18.004.0006.0182.0140.2143.33.90.36</v>
      </c>
      <c r="S403" s="2" t="str">
        <f ca="1">IFERROR(__xludf.DUMMYFUNCTION("""COMPUTED_VALUE"""),"0000")</f>
        <v>0000</v>
      </c>
      <c r="T403" s="2">
        <f ca="1">IFERROR(__xludf.DUMMYFUNCTION("""COMPUTED_VALUE"""),2024)</f>
        <v>2024</v>
      </c>
      <c r="U403" s="2" t="str">
        <f ca="1">IFERROR(__xludf.DUMMYFUNCTION("""COMPUTED_VALUE"""),"0558")</f>
        <v>0558</v>
      </c>
      <c r="V403" s="2" t="str">
        <f ca="1">IFERROR(__xludf.DUMMYFUNCTION("""COMPUTED_VALUE"""),"08.003.0008.0244.0118.2030.33.90.33")</f>
        <v>08.003.0008.0244.0118.2030.33.90.33</v>
      </c>
      <c r="W403" s="2" t="str">
        <f ca="1">IFERROR(__xludf.DUMMYFUNCTION("""COMPUTED_VALUE"""),"9381")</f>
        <v>9381</v>
      </c>
      <c r="X403" s="2"/>
      <c r="Y403" s="2"/>
      <c r="Z403" s="2"/>
      <c r="AA403" s="2"/>
      <c r="AB403" s="2"/>
      <c r="AC403" s="2"/>
      <c r="AD403" s="2"/>
      <c r="AE403" s="2"/>
      <c r="AF403" s="2"/>
    </row>
    <row r="404" spans="1:32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>
        <f ca="1">IFERROR(__xludf.DUMMYFUNCTION("""COMPUTED_VALUE"""),2023)</f>
        <v>2023</v>
      </c>
      <c r="Q404" s="2" t="str">
        <f ca="1">IFERROR(__xludf.DUMMYFUNCTION("""COMPUTED_VALUE"""),"0455")</f>
        <v>0455</v>
      </c>
      <c r="R404" s="2" t="str">
        <f ca="1">IFERROR(__xludf.DUMMYFUNCTION("""COMPUTED_VALUE"""),"18.004.0015.0452.0140.2145.33.90.36")</f>
        <v>18.004.0015.0452.0140.2145.33.90.36</v>
      </c>
      <c r="S404" s="2" t="str">
        <f ca="1">IFERROR(__xludf.DUMMYFUNCTION("""COMPUTED_VALUE"""),"0000")</f>
        <v>0000</v>
      </c>
      <c r="T404" s="2">
        <f ca="1">IFERROR(__xludf.DUMMYFUNCTION("""COMPUTED_VALUE"""),2024)</f>
        <v>2024</v>
      </c>
      <c r="U404" s="2" t="str">
        <f ca="1">IFERROR(__xludf.DUMMYFUNCTION("""COMPUTED_VALUE"""),"0530")</f>
        <v>0530</v>
      </c>
      <c r="V404" s="2" t="str">
        <f ca="1">IFERROR(__xludf.DUMMYFUNCTION("""COMPUTED_VALUE"""),"08.003.0008.0244.0118.2030.33.90.33")</f>
        <v>08.003.0008.0244.0118.2030.33.90.33</v>
      </c>
      <c r="W404" s="2" t="str">
        <f ca="1">IFERROR(__xludf.DUMMYFUNCTION("""COMPUTED_VALUE"""),"0")</f>
        <v>0</v>
      </c>
      <c r="X404" s="2"/>
      <c r="Y404" s="2"/>
      <c r="Z404" s="2"/>
      <c r="AA404" s="2"/>
      <c r="AB404" s="2"/>
      <c r="AC404" s="2"/>
      <c r="AD404" s="2"/>
      <c r="AE404" s="2"/>
      <c r="AF404" s="2"/>
    </row>
    <row r="405" spans="1:32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>
        <f ca="1">IFERROR(__xludf.DUMMYFUNCTION("""COMPUTED_VALUE"""),2023)</f>
        <v>2023</v>
      </c>
      <c r="Q405" s="2" t="str">
        <f ca="1">IFERROR(__xludf.DUMMYFUNCTION("""COMPUTED_VALUE"""),"0456")</f>
        <v>0456</v>
      </c>
      <c r="R405" s="2" t="str">
        <f ca="1">IFERROR(__xludf.DUMMYFUNCTION("""COMPUTED_VALUE"""),"04.001.0004.0122.0040.2001.33.90.37")</f>
        <v>04.001.0004.0122.0040.2001.33.90.37</v>
      </c>
      <c r="S405" s="2" t="str">
        <f ca="1">IFERROR(__xludf.DUMMYFUNCTION("""COMPUTED_VALUE"""),"0000")</f>
        <v>0000</v>
      </c>
      <c r="T405" s="2">
        <f ca="1">IFERROR(__xludf.DUMMYFUNCTION("""COMPUTED_VALUE"""),2024)</f>
        <v>2024</v>
      </c>
      <c r="U405" s="2" t="str">
        <f ca="1">IFERROR(__xludf.DUMMYFUNCTION("""COMPUTED_VALUE"""),"0546")</f>
        <v>0546</v>
      </c>
      <c r="V405" s="2" t="str">
        <f ca="1">IFERROR(__xludf.DUMMYFUNCTION("""COMPUTED_VALUE"""),"08.003.0008.0244.0118.2030.33.90.35")</f>
        <v>08.003.0008.0244.0118.2030.33.90.35</v>
      </c>
      <c r="W405" s="2" t="str">
        <f ca="1">IFERROR(__xludf.DUMMYFUNCTION("""COMPUTED_VALUE"""),"936")</f>
        <v>936</v>
      </c>
      <c r="X405" s="2"/>
      <c r="Y405" s="2"/>
      <c r="Z405" s="2"/>
      <c r="AA405" s="2"/>
      <c r="AB405" s="2"/>
      <c r="AC405" s="2"/>
      <c r="AD405" s="2"/>
      <c r="AE405" s="2"/>
      <c r="AF405" s="2"/>
    </row>
    <row r="406" spans="1:32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>
        <f ca="1">IFERROR(__xludf.DUMMYFUNCTION("""COMPUTED_VALUE"""),2023)</f>
        <v>2023</v>
      </c>
      <c r="Q406" s="2" t="str">
        <f ca="1">IFERROR(__xludf.DUMMYFUNCTION("""COMPUTED_VALUE"""),"0457")</f>
        <v>0457</v>
      </c>
      <c r="R406" s="2" t="str">
        <f ca="1">IFERROR(__xludf.DUMMYFUNCTION("""COMPUTED_VALUE"""),"05.001.0012.0361.0074.6012.33.90.37")</f>
        <v>05.001.0012.0361.0074.6012.33.90.37</v>
      </c>
      <c r="S406" s="2" t="str">
        <f ca="1">IFERROR(__xludf.DUMMYFUNCTION("""COMPUTED_VALUE"""),"00107")</f>
        <v>00107</v>
      </c>
      <c r="T406" s="2">
        <f ca="1">IFERROR(__xludf.DUMMYFUNCTION("""COMPUTED_VALUE"""),2024)</f>
        <v>2024</v>
      </c>
      <c r="U406" s="2" t="str">
        <f ca="1">IFERROR(__xludf.DUMMYFUNCTION("""COMPUTED_VALUE"""),"1168")</f>
        <v>1168</v>
      </c>
      <c r="V406" s="2" t="str">
        <f ca="1">IFERROR(__xludf.DUMMYFUNCTION("""COMPUTED_VALUE"""),"08.003.0008.0244.0118.2030.33.90.36")</f>
        <v>08.003.0008.0244.0118.2030.33.90.36</v>
      </c>
      <c r="W406" s="2" t="str">
        <f ca="1">IFERROR(__xludf.DUMMYFUNCTION("""COMPUTED_VALUE"""),"0")</f>
        <v>0</v>
      </c>
      <c r="X406" s="2"/>
      <c r="Y406" s="2"/>
      <c r="Z406" s="2"/>
      <c r="AA406" s="2"/>
      <c r="AB406" s="2"/>
      <c r="AC406" s="2"/>
      <c r="AD406" s="2"/>
      <c r="AE406" s="2"/>
      <c r="AF406" s="2"/>
    </row>
    <row r="407" spans="1:32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>
        <f ca="1">IFERROR(__xludf.DUMMYFUNCTION("""COMPUTED_VALUE"""),2023)</f>
        <v>2023</v>
      </c>
      <c r="Q407" s="2" t="str">
        <f ca="1">IFERROR(__xludf.DUMMYFUNCTION("""COMPUTED_VALUE"""),"0458")</f>
        <v>0458</v>
      </c>
      <c r="R407" s="2" t="str">
        <f ca="1">IFERROR(__xludf.DUMMYFUNCTION("""COMPUTED_VALUE"""),"05.001.0012.0365.0074.6015.33.90.37")</f>
        <v>05.001.0012.0365.0074.6015.33.90.37</v>
      </c>
      <c r="S407" s="2" t="str">
        <f ca="1">IFERROR(__xludf.DUMMYFUNCTION("""COMPUTED_VALUE"""),"00102")</f>
        <v>00102</v>
      </c>
      <c r="T407" s="2">
        <f ca="1">IFERROR(__xludf.DUMMYFUNCTION("""COMPUTED_VALUE"""),2024)</f>
        <v>2024</v>
      </c>
      <c r="U407" s="2" t="str">
        <f ca="1">IFERROR(__xludf.DUMMYFUNCTION("""COMPUTED_VALUE"""),"0531")</f>
        <v>0531</v>
      </c>
      <c r="V407" s="2" t="str">
        <f ca="1">IFERROR(__xludf.DUMMYFUNCTION("""COMPUTED_VALUE"""),"08.003.0008.0244.0118.2030.33.90.36")</f>
        <v>08.003.0008.0244.0118.2030.33.90.36</v>
      </c>
      <c r="W407" s="2" t="str">
        <f ca="1">IFERROR(__xludf.DUMMYFUNCTION("""COMPUTED_VALUE"""),"0")</f>
        <v>0</v>
      </c>
      <c r="X407" s="2"/>
      <c r="Y407" s="2"/>
      <c r="Z407" s="2"/>
      <c r="AA407" s="2"/>
      <c r="AB407" s="2"/>
      <c r="AC407" s="2"/>
      <c r="AD407" s="2"/>
      <c r="AE407" s="2"/>
      <c r="AF407" s="2"/>
    </row>
    <row r="408" spans="1:32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>
        <f ca="1">IFERROR(__xludf.DUMMYFUNCTION("""COMPUTED_VALUE"""),2023)</f>
        <v>2023</v>
      </c>
      <c r="Q408" s="2" t="str">
        <f ca="1">IFERROR(__xludf.DUMMYFUNCTION("""COMPUTED_VALUE"""),"0459")</f>
        <v>0459</v>
      </c>
      <c r="R408" s="2" t="str">
        <f ca="1">IFERROR(__xludf.DUMMYFUNCTION("""COMPUTED_VALUE"""),"05.001.0012.0365.0074.6015.33.90.37")</f>
        <v>05.001.0012.0365.0074.6015.33.90.37</v>
      </c>
      <c r="S408" s="2" t="str">
        <f ca="1">IFERROR(__xludf.DUMMYFUNCTION("""COMPUTED_VALUE"""),"00103")</f>
        <v>00103</v>
      </c>
      <c r="T408" s="2">
        <f ca="1">IFERROR(__xludf.DUMMYFUNCTION("""COMPUTED_VALUE"""),2024)</f>
        <v>2024</v>
      </c>
      <c r="U408" s="2" t="str">
        <f ca="1">IFERROR(__xludf.DUMMYFUNCTION("""COMPUTED_VALUE"""),"0551")</f>
        <v>0551</v>
      </c>
      <c r="V408" s="2" t="str">
        <f ca="1">IFERROR(__xludf.DUMMYFUNCTION("""COMPUTED_VALUE"""),"08.003.0008.0244.0118.2030.33.90.37")</f>
        <v>08.003.0008.0244.0118.2030.33.90.37</v>
      </c>
      <c r="W408" s="2" t="str">
        <f ca="1">IFERROR(__xludf.DUMMYFUNCTION("""COMPUTED_VALUE"""),"940")</f>
        <v>940</v>
      </c>
      <c r="X408" s="2"/>
      <c r="Y408" s="2"/>
      <c r="Z408" s="2"/>
      <c r="AA408" s="2"/>
      <c r="AB408" s="2"/>
      <c r="AC408" s="2"/>
      <c r="AD408" s="2"/>
      <c r="AE408" s="2"/>
      <c r="AF408" s="2"/>
    </row>
    <row r="409" spans="1:32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>
        <f ca="1">IFERROR(__xludf.DUMMYFUNCTION("""COMPUTED_VALUE"""),2023)</f>
        <v>2023</v>
      </c>
      <c r="Q409" s="2" t="str">
        <f ca="1">IFERROR(__xludf.DUMMYFUNCTION("""COMPUTED_VALUE"""),"0460")</f>
        <v>0460</v>
      </c>
      <c r="R409" s="2" t="str">
        <f ca="1">IFERROR(__xludf.DUMMYFUNCTION("""COMPUTED_VALUE"""),"05.001.0012.0361.0074.6018.33.90.37")</f>
        <v>05.001.0012.0361.0074.6018.33.90.37</v>
      </c>
      <c r="S409" s="2" t="str">
        <f ca="1">IFERROR(__xludf.DUMMYFUNCTION("""COMPUTED_VALUE"""),"00102")</f>
        <v>00102</v>
      </c>
      <c r="T409" s="2">
        <f ca="1">IFERROR(__xludf.DUMMYFUNCTION("""COMPUTED_VALUE"""),2024)</f>
        <v>2024</v>
      </c>
      <c r="U409" s="2" t="str">
        <f ca="1">IFERROR(__xludf.DUMMYFUNCTION("""COMPUTED_VALUE"""),"0532")</f>
        <v>0532</v>
      </c>
      <c r="V409" s="2" t="str">
        <f ca="1">IFERROR(__xludf.DUMMYFUNCTION("""COMPUTED_VALUE"""),"08.003.0008.0244.0118.2030.33.90.39")</f>
        <v>08.003.0008.0244.0118.2030.33.90.39</v>
      </c>
      <c r="W409" s="2" t="str">
        <f ca="1">IFERROR(__xludf.DUMMYFUNCTION("""COMPUTED_VALUE"""),"0")</f>
        <v>0</v>
      </c>
      <c r="X409" s="2"/>
      <c r="Y409" s="2"/>
      <c r="Z409" s="2"/>
      <c r="AA409" s="2"/>
      <c r="AB409" s="2"/>
      <c r="AC409" s="2"/>
      <c r="AD409" s="2"/>
      <c r="AE409" s="2"/>
      <c r="AF409" s="2"/>
    </row>
    <row r="410" spans="1:32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>
        <f ca="1">IFERROR(__xludf.DUMMYFUNCTION("""COMPUTED_VALUE"""),2023)</f>
        <v>2023</v>
      </c>
      <c r="Q410" s="2" t="str">
        <f ca="1">IFERROR(__xludf.DUMMYFUNCTION("""COMPUTED_VALUE"""),"0461")</f>
        <v>0461</v>
      </c>
      <c r="R410" s="2" t="str">
        <f ca="1">IFERROR(__xludf.DUMMYFUNCTION("""COMPUTED_VALUE"""),"05.001.0012.0361.0074.6018.33.90.37")</f>
        <v>05.001.0012.0361.0074.6018.33.90.37</v>
      </c>
      <c r="S410" s="2" t="str">
        <f ca="1">IFERROR(__xludf.DUMMYFUNCTION("""COMPUTED_VALUE"""),"00104")</f>
        <v>00104</v>
      </c>
      <c r="T410" s="2">
        <f ca="1">IFERROR(__xludf.DUMMYFUNCTION("""COMPUTED_VALUE"""),2024)</f>
        <v>2024</v>
      </c>
      <c r="U410" s="2" t="str">
        <f ca="1">IFERROR(__xludf.DUMMYFUNCTION("""COMPUTED_VALUE"""),"0533")</f>
        <v>0533</v>
      </c>
      <c r="V410" s="2" t="str">
        <f ca="1">IFERROR(__xludf.DUMMYFUNCTION("""COMPUTED_VALUE"""),"08.003.0008.0244.0118.2030.33.90.39")</f>
        <v>08.003.0008.0244.0118.2030.33.90.39</v>
      </c>
      <c r="W410" s="2" t="str">
        <f ca="1">IFERROR(__xludf.DUMMYFUNCTION("""COMPUTED_VALUE"""),"0")</f>
        <v>0</v>
      </c>
      <c r="X410" s="2"/>
      <c r="Y410" s="2"/>
      <c r="Z410" s="2"/>
      <c r="AA410" s="2"/>
      <c r="AB410" s="2"/>
      <c r="AC410" s="2"/>
      <c r="AD410" s="2"/>
      <c r="AE410" s="2"/>
      <c r="AF410" s="2"/>
    </row>
    <row r="411" spans="1:32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>
        <f ca="1">IFERROR(__xludf.DUMMYFUNCTION("""COMPUTED_VALUE"""),2023)</f>
        <v>2023</v>
      </c>
      <c r="Q411" s="2" t="str">
        <f ca="1">IFERROR(__xludf.DUMMYFUNCTION("""COMPUTED_VALUE"""),"0462")</f>
        <v>0462</v>
      </c>
      <c r="R411" s="2" t="str">
        <f ca="1">IFERROR(__xludf.DUMMYFUNCTION("""COMPUTED_VALUE"""),"06.001.0010.0301.0094.2037.33.90.37")</f>
        <v>06.001.0010.0301.0094.2037.33.90.37</v>
      </c>
      <c r="S411" s="2" t="str">
        <f ca="1">IFERROR(__xludf.DUMMYFUNCTION("""COMPUTED_VALUE"""),"00303")</f>
        <v>00303</v>
      </c>
      <c r="T411" s="2">
        <f ca="1">IFERROR(__xludf.DUMMYFUNCTION("""COMPUTED_VALUE"""),2024)</f>
        <v>2024</v>
      </c>
      <c r="U411" s="2" t="str">
        <f ca="1">IFERROR(__xludf.DUMMYFUNCTION("""COMPUTED_VALUE"""),"0542")</f>
        <v>0542</v>
      </c>
      <c r="V411" s="2" t="str">
        <f ca="1">IFERROR(__xludf.DUMMYFUNCTION("""COMPUTED_VALUE"""),"08.003.0008.0244.0118.2030.33.90.39")</f>
        <v>08.003.0008.0244.0118.2030.33.90.39</v>
      </c>
      <c r="W411" s="2" t="str">
        <f ca="1">IFERROR(__xludf.DUMMYFUNCTION("""COMPUTED_VALUE"""),"934")</f>
        <v>934</v>
      </c>
      <c r="X411" s="2"/>
      <c r="Y411" s="2"/>
      <c r="Z411" s="2"/>
      <c r="AA411" s="2"/>
      <c r="AB411" s="2"/>
      <c r="AC411" s="2"/>
      <c r="AD411" s="2"/>
      <c r="AE411" s="2"/>
      <c r="AF411" s="2"/>
    </row>
    <row r="412" spans="1:3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>
        <f ca="1">IFERROR(__xludf.DUMMYFUNCTION("""COMPUTED_VALUE"""),2023)</f>
        <v>2023</v>
      </c>
      <c r="Q412" s="2" t="str">
        <f ca="1">IFERROR(__xludf.DUMMYFUNCTION("""COMPUTED_VALUE"""),"0464")</f>
        <v>0464</v>
      </c>
      <c r="R412" s="2" t="str">
        <f ca="1">IFERROR(__xludf.DUMMYFUNCTION("""COMPUTED_VALUE"""),"06.001.0010.0301.0094.2039.33.90.37")</f>
        <v>06.001.0010.0301.0094.2039.33.90.37</v>
      </c>
      <c r="S412" s="2" t="str">
        <f ca="1">IFERROR(__xludf.DUMMYFUNCTION("""COMPUTED_VALUE"""),"04942")</f>
        <v>04942</v>
      </c>
      <c r="T412" s="2">
        <f ca="1">IFERROR(__xludf.DUMMYFUNCTION("""COMPUTED_VALUE"""),2024)</f>
        <v>2024</v>
      </c>
      <c r="U412" s="2" t="str">
        <f ca="1">IFERROR(__xludf.DUMMYFUNCTION("""COMPUTED_VALUE"""),"0552")</f>
        <v>0552</v>
      </c>
      <c r="V412" s="2" t="str">
        <f ca="1">IFERROR(__xludf.DUMMYFUNCTION("""COMPUTED_VALUE"""),"08.003.0008.0244.0118.2030.33.90.39")</f>
        <v>08.003.0008.0244.0118.2030.33.90.39</v>
      </c>
      <c r="W412" s="2" t="str">
        <f ca="1">IFERROR(__xludf.DUMMYFUNCTION("""COMPUTED_VALUE"""),"940")</f>
        <v>940</v>
      </c>
      <c r="X412" s="2"/>
      <c r="Y412" s="2"/>
      <c r="Z412" s="2"/>
      <c r="AA412" s="2"/>
      <c r="AB412" s="2"/>
      <c r="AC412" s="2"/>
      <c r="AD412" s="2"/>
      <c r="AE412" s="2"/>
      <c r="AF412" s="2"/>
    </row>
    <row r="413" spans="1:32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>
        <f ca="1">IFERROR(__xludf.DUMMYFUNCTION("""COMPUTED_VALUE"""),2023)</f>
        <v>2023</v>
      </c>
      <c r="Q413" s="2" t="str">
        <f ca="1">IFERROR(__xludf.DUMMYFUNCTION("""COMPUTED_VALUE"""),"0465")</f>
        <v>0465</v>
      </c>
      <c r="R413" s="2" t="str">
        <f ca="1">IFERROR(__xludf.DUMMYFUNCTION("""COMPUTED_VALUE"""),"06.001.0010.0305.0094.2040.33.90.37")</f>
        <v>06.001.0010.0305.0094.2040.33.90.37</v>
      </c>
      <c r="S413" s="2" t="str">
        <f ca="1">IFERROR(__xludf.DUMMYFUNCTION("""COMPUTED_VALUE"""),"04942")</f>
        <v>04942</v>
      </c>
      <c r="T413" s="2">
        <f ca="1">IFERROR(__xludf.DUMMYFUNCTION("""COMPUTED_VALUE"""),2024)</f>
        <v>2024</v>
      </c>
      <c r="U413" s="2" t="str">
        <f ca="1">IFERROR(__xludf.DUMMYFUNCTION("""COMPUTED_VALUE"""),"0556")</f>
        <v>0556</v>
      </c>
      <c r="V413" s="2" t="str">
        <f ca="1">IFERROR(__xludf.DUMMYFUNCTION("""COMPUTED_VALUE"""),"08.003.0008.0244.0118.2030.33.90.39")</f>
        <v>08.003.0008.0244.0118.2030.33.90.39</v>
      </c>
      <c r="W413" s="2" t="str">
        <f ca="1">IFERROR(__xludf.DUMMYFUNCTION("""COMPUTED_VALUE"""),"941")</f>
        <v>941</v>
      </c>
      <c r="X413" s="2"/>
      <c r="Y413" s="2"/>
      <c r="Z413" s="2"/>
      <c r="AA413" s="2"/>
      <c r="AB413" s="2"/>
      <c r="AC413" s="2"/>
      <c r="AD413" s="2"/>
      <c r="AE413" s="2"/>
      <c r="AF413" s="2"/>
    </row>
    <row r="414" spans="1:32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>
        <f ca="1">IFERROR(__xludf.DUMMYFUNCTION("""COMPUTED_VALUE"""),2023)</f>
        <v>2023</v>
      </c>
      <c r="Q414" s="2" t="str">
        <f ca="1">IFERROR(__xludf.DUMMYFUNCTION("""COMPUTED_VALUE"""),"0466")</f>
        <v>0466</v>
      </c>
      <c r="R414" s="2" t="str">
        <f ca="1">IFERROR(__xludf.DUMMYFUNCTION("""COMPUTED_VALUE"""),"06.001.0010.0302.0094.2041.33.90.37")</f>
        <v>06.001.0010.0302.0094.2041.33.90.37</v>
      </c>
      <c r="S414" s="2" t="str">
        <f ca="1">IFERROR(__xludf.DUMMYFUNCTION("""COMPUTED_VALUE"""),"00303")</f>
        <v>00303</v>
      </c>
      <c r="T414" s="2">
        <f ca="1">IFERROR(__xludf.DUMMYFUNCTION("""COMPUTED_VALUE"""),2024)</f>
        <v>2024</v>
      </c>
      <c r="U414" s="2" t="str">
        <f ca="1">IFERROR(__xludf.DUMMYFUNCTION("""COMPUTED_VALUE"""),"0560")</f>
        <v>0560</v>
      </c>
      <c r="V414" s="2" t="str">
        <f ca="1">IFERROR(__xludf.DUMMYFUNCTION("""COMPUTED_VALUE"""),"08.003.0008.0244.0118.2030.33.90.39")</f>
        <v>08.003.0008.0244.0118.2030.33.90.39</v>
      </c>
      <c r="W414" s="2" t="str">
        <f ca="1">IFERROR(__xludf.DUMMYFUNCTION("""COMPUTED_VALUE"""),"9391")</f>
        <v>9391</v>
      </c>
      <c r="X414" s="2"/>
      <c r="Y414" s="2"/>
      <c r="Z414" s="2"/>
      <c r="AA414" s="2"/>
      <c r="AB414" s="2"/>
      <c r="AC414" s="2"/>
      <c r="AD414" s="2"/>
      <c r="AE414" s="2"/>
      <c r="AF414" s="2"/>
    </row>
    <row r="415" spans="1:32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>
        <f ca="1">IFERROR(__xludf.DUMMYFUNCTION("""COMPUTED_VALUE"""),2023)</f>
        <v>2023</v>
      </c>
      <c r="Q415" s="2" t="str">
        <f ca="1">IFERROR(__xludf.DUMMYFUNCTION("""COMPUTED_VALUE"""),"0467")</f>
        <v>0467</v>
      </c>
      <c r="R415" s="2" t="str">
        <f ca="1">IFERROR(__xludf.DUMMYFUNCTION("""COMPUTED_VALUE"""),"06.001.0010.0302.0094.2043.33.90.37")</f>
        <v>06.001.0010.0302.0094.2043.33.90.37</v>
      </c>
      <c r="S415" s="2" t="str">
        <f ca="1">IFERROR(__xludf.DUMMYFUNCTION("""COMPUTED_VALUE"""),"04942")</f>
        <v>04942</v>
      </c>
      <c r="T415" s="2">
        <f ca="1">IFERROR(__xludf.DUMMYFUNCTION("""COMPUTED_VALUE"""),2024)</f>
        <v>2024</v>
      </c>
      <c r="U415" s="2" t="str">
        <f ca="1">IFERROR(__xludf.DUMMYFUNCTION("""COMPUTED_VALUE"""),"0564")</f>
        <v>0564</v>
      </c>
      <c r="V415" s="2" t="str">
        <f ca="1">IFERROR(__xludf.DUMMYFUNCTION("""COMPUTED_VALUE"""),"08.003.0008.0244.0118.2030.33.90.40")</f>
        <v>08.003.0008.0244.0118.2030.33.90.40</v>
      </c>
      <c r="W415" s="2" t="str">
        <f ca="1">IFERROR(__xludf.DUMMYFUNCTION("""COMPUTED_VALUE"""),"10186")</f>
        <v>10186</v>
      </c>
      <c r="X415" s="2"/>
      <c r="Y415" s="2"/>
      <c r="Z415" s="2"/>
      <c r="AA415" s="2"/>
      <c r="AB415" s="2"/>
      <c r="AC415" s="2"/>
      <c r="AD415" s="2"/>
      <c r="AE415" s="2"/>
      <c r="AF415" s="2"/>
    </row>
    <row r="416" spans="1:32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>
        <f ca="1">IFERROR(__xludf.DUMMYFUNCTION("""COMPUTED_VALUE"""),2023)</f>
        <v>2023</v>
      </c>
      <c r="Q416" s="2" t="str">
        <f ca="1">IFERROR(__xludf.DUMMYFUNCTION("""COMPUTED_VALUE"""),"0468")</f>
        <v>0468</v>
      </c>
      <c r="R416" s="2" t="str">
        <f ca="1">IFERROR(__xludf.DUMMYFUNCTION("""COMPUTED_VALUE"""),"12.005.0020.0605.0113.2124.33.90.37")</f>
        <v>12.005.0020.0605.0113.2124.33.90.37</v>
      </c>
      <c r="S416" s="2" t="str">
        <f ca="1">IFERROR(__xludf.DUMMYFUNCTION("""COMPUTED_VALUE"""),"0000")</f>
        <v>0000</v>
      </c>
      <c r="T416" s="2">
        <f ca="1">IFERROR(__xludf.DUMMYFUNCTION("""COMPUTED_VALUE"""),2024)</f>
        <v>2024</v>
      </c>
      <c r="U416" s="2" t="str">
        <f ca="1">IFERROR(__xludf.DUMMYFUNCTION("""COMPUTED_VALUE"""),"0534")</f>
        <v>0534</v>
      </c>
      <c r="V416" s="2" t="str">
        <f ca="1">IFERROR(__xludf.DUMMYFUNCTION("""COMPUTED_VALUE"""),"08.003.0008.0244.0118.2030.33.90.40")</f>
        <v>08.003.0008.0244.0118.2030.33.90.40</v>
      </c>
      <c r="W416" s="2" t="str">
        <f ca="1">IFERROR(__xludf.DUMMYFUNCTION("""COMPUTED_VALUE"""),"0")</f>
        <v>0</v>
      </c>
      <c r="X416" s="2"/>
      <c r="Y416" s="2"/>
      <c r="Z416" s="2"/>
      <c r="AA416" s="2"/>
      <c r="AB416" s="2"/>
      <c r="AC416" s="2"/>
      <c r="AD416" s="2"/>
      <c r="AE416" s="2"/>
      <c r="AF416" s="2"/>
    </row>
    <row r="417" spans="1:32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>
        <f ca="1">IFERROR(__xludf.DUMMYFUNCTION("""COMPUTED_VALUE"""),2023)</f>
        <v>2023</v>
      </c>
      <c r="Q417" s="2" t="str">
        <f ca="1">IFERROR(__xludf.DUMMYFUNCTION("""COMPUTED_VALUE"""),"0469")</f>
        <v>0469</v>
      </c>
      <c r="R417" s="2" t="str">
        <f ca="1">IFERROR(__xludf.DUMMYFUNCTION("""COMPUTED_VALUE"""),"08.003.0008.0244.0118.2030.33.90.37")</f>
        <v>08.003.0008.0244.0118.2030.33.90.37</v>
      </c>
      <c r="S417" s="2" t="str">
        <f ca="1">IFERROR(__xludf.DUMMYFUNCTION("""COMPUTED_VALUE"""),"0000")</f>
        <v>0000</v>
      </c>
      <c r="T417" s="2">
        <f ca="1">IFERROR(__xludf.DUMMYFUNCTION("""COMPUTED_VALUE"""),2024)</f>
        <v>2024</v>
      </c>
      <c r="U417" s="2" t="str">
        <f ca="1">IFERROR(__xludf.DUMMYFUNCTION("""COMPUTED_VALUE"""),"0543")</f>
        <v>0543</v>
      </c>
      <c r="V417" s="2" t="str">
        <f ca="1">IFERROR(__xludf.DUMMYFUNCTION("""COMPUTED_VALUE"""),"08.003.0008.0244.0118.2030.33.90.40")</f>
        <v>08.003.0008.0244.0118.2030.33.90.40</v>
      </c>
      <c r="W417" s="2" t="str">
        <f ca="1">IFERROR(__xludf.DUMMYFUNCTION("""COMPUTED_VALUE"""),"934")</f>
        <v>934</v>
      </c>
      <c r="X417" s="2"/>
      <c r="Y417" s="2"/>
      <c r="Z417" s="2"/>
      <c r="AA417" s="2"/>
      <c r="AB417" s="2"/>
      <c r="AC417" s="2"/>
      <c r="AD417" s="2"/>
      <c r="AE417" s="2"/>
      <c r="AF417" s="2"/>
    </row>
    <row r="418" spans="1:32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>
        <f ca="1">IFERROR(__xludf.DUMMYFUNCTION("""COMPUTED_VALUE"""),2023)</f>
        <v>2023</v>
      </c>
      <c r="Q418" s="2" t="str">
        <f ca="1">IFERROR(__xludf.DUMMYFUNCTION("""COMPUTED_VALUE"""),"0470")</f>
        <v>0470</v>
      </c>
      <c r="R418" s="2" t="str">
        <f ca="1">IFERROR(__xludf.DUMMYFUNCTION("""COMPUTED_VALUE"""),"18.003.0015.0121.0140.1030.33.90.37")</f>
        <v>18.003.0015.0121.0140.1030.33.90.37</v>
      </c>
      <c r="S418" s="2" t="str">
        <f ca="1">IFERROR(__xludf.DUMMYFUNCTION("""COMPUTED_VALUE"""),"0000")</f>
        <v>0000</v>
      </c>
      <c r="T418" s="2">
        <f ca="1">IFERROR(__xludf.DUMMYFUNCTION("""COMPUTED_VALUE"""),2024)</f>
        <v>2024</v>
      </c>
      <c r="U418" s="2" t="str">
        <f ca="1">IFERROR(__xludf.DUMMYFUNCTION("""COMPUTED_VALUE"""),"0553")</f>
        <v>0553</v>
      </c>
      <c r="V418" s="2" t="str">
        <f ca="1">IFERROR(__xludf.DUMMYFUNCTION("""COMPUTED_VALUE"""),"08.003.0008.0244.0118.2030.33.90.40")</f>
        <v>08.003.0008.0244.0118.2030.33.90.40</v>
      </c>
      <c r="W418" s="2" t="str">
        <f ca="1">IFERROR(__xludf.DUMMYFUNCTION("""COMPUTED_VALUE"""),"940")</f>
        <v>940</v>
      </c>
      <c r="X418" s="2"/>
      <c r="Y418" s="2"/>
      <c r="Z418" s="2"/>
      <c r="AA418" s="2"/>
      <c r="AB418" s="2"/>
      <c r="AC418" s="2"/>
      <c r="AD418" s="2"/>
      <c r="AE418" s="2"/>
      <c r="AF418" s="2"/>
    </row>
    <row r="419" spans="1:32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>
        <f ca="1">IFERROR(__xludf.DUMMYFUNCTION("""COMPUTED_VALUE"""),2023)</f>
        <v>2023</v>
      </c>
      <c r="Q419" s="2" t="str">
        <f ca="1">IFERROR(__xludf.DUMMYFUNCTION("""COMPUTED_VALUE"""),"0471")</f>
        <v>0471</v>
      </c>
      <c r="R419" s="2" t="str">
        <f ca="1">IFERROR(__xludf.DUMMYFUNCTION("""COMPUTED_VALUE"""),"18.003.0015.0121.0140.1030.33.90.37")</f>
        <v>18.003.0015.0121.0140.1030.33.90.37</v>
      </c>
      <c r="S419" s="2" t="str">
        <f ca="1">IFERROR(__xludf.DUMMYFUNCTION("""COMPUTED_VALUE"""),"00509")</f>
        <v>00509</v>
      </c>
      <c r="T419" s="2">
        <f ca="1">IFERROR(__xludf.DUMMYFUNCTION("""COMPUTED_VALUE"""),2024)</f>
        <v>2024</v>
      </c>
      <c r="U419" s="2" t="str">
        <f ca="1">IFERROR(__xludf.DUMMYFUNCTION("""COMPUTED_VALUE"""),"1169")</f>
        <v>1169</v>
      </c>
      <c r="V419" s="2" t="str">
        <f ca="1">IFERROR(__xludf.DUMMYFUNCTION("""COMPUTED_VALUE"""),"08.003.0008.0244.0118.2030.33.90.48")</f>
        <v>08.003.0008.0244.0118.2030.33.90.48</v>
      </c>
      <c r="W419" s="2" t="str">
        <f ca="1">IFERROR(__xludf.DUMMYFUNCTION("""COMPUTED_VALUE"""),"10186")</f>
        <v>10186</v>
      </c>
      <c r="X419" s="2"/>
      <c r="Y419" s="2"/>
      <c r="Z419" s="2"/>
      <c r="AA419" s="2"/>
      <c r="AB419" s="2"/>
      <c r="AC419" s="2"/>
      <c r="AD419" s="2"/>
      <c r="AE419" s="2"/>
      <c r="AF419" s="2"/>
    </row>
    <row r="420" spans="1:32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>
        <f ca="1">IFERROR(__xludf.DUMMYFUNCTION("""COMPUTED_VALUE"""),2023)</f>
        <v>2023</v>
      </c>
      <c r="Q420" s="2" t="str">
        <f ca="1">IFERROR(__xludf.DUMMYFUNCTION("""COMPUTED_VALUE"""),"0472")</f>
        <v>0472</v>
      </c>
      <c r="R420" s="2" t="str">
        <f ca="1">IFERROR(__xludf.DUMMYFUNCTION("""COMPUTED_VALUE"""),"18.004.0015.0182.0140.1076.33.90.37")</f>
        <v>18.004.0015.0182.0140.1076.33.90.37</v>
      </c>
      <c r="S420" s="2" t="str">
        <f ca="1">IFERROR(__xludf.DUMMYFUNCTION("""COMPUTED_VALUE"""),"0000")</f>
        <v>0000</v>
      </c>
      <c r="T420" s="2">
        <f ca="1">IFERROR(__xludf.DUMMYFUNCTION("""COMPUTED_VALUE"""),2024)</f>
        <v>2024</v>
      </c>
      <c r="U420" s="2" t="str">
        <f ca="1">IFERROR(__xludf.DUMMYFUNCTION("""COMPUTED_VALUE"""),"0535")</f>
        <v>0535</v>
      </c>
      <c r="V420" s="2" t="str">
        <f ca="1">IFERROR(__xludf.DUMMYFUNCTION("""COMPUTED_VALUE"""),"08.003.0008.0244.0118.2030.33.90.93")</f>
        <v>08.003.0008.0244.0118.2030.33.90.93</v>
      </c>
      <c r="W420" s="2" t="str">
        <f ca="1">IFERROR(__xludf.DUMMYFUNCTION("""COMPUTED_VALUE"""),"0")</f>
        <v>0</v>
      </c>
      <c r="X420" s="2"/>
      <c r="Y420" s="2"/>
      <c r="Z420" s="2"/>
      <c r="AA420" s="2"/>
      <c r="AB420" s="2"/>
      <c r="AC420" s="2"/>
      <c r="AD420" s="2"/>
      <c r="AE420" s="2"/>
      <c r="AF420" s="2"/>
    </row>
    <row r="421" spans="1:32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>
        <f ca="1">IFERROR(__xludf.DUMMYFUNCTION("""COMPUTED_VALUE"""),2023)</f>
        <v>2023</v>
      </c>
      <c r="Q421" s="2" t="str">
        <f ca="1">IFERROR(__xludf.DUMMYFUNCTION("""COMPUTED_VALUE"""),"0473")</f>
        <v>0473</v>
      </c>
      <c r="R421" s="2" t="str">
        <f ca="1">IFERROR(__xludf.DUMMYFUNCTION("""COMPUTED_VALUE"""),"18.004.0015.0182.0140.1076.33.90.37")</f>
        <v>18.004.0015.0182.0140.1076.33.90.37</v>
      </c>
      <c r="S421" s="2" t="str">
        <f ca="1">IFERROR(__xludf.DUMMYFUNCTION("""COMPUTED_VALUE"""),"00509")</f>
        <v>00509</v>
      </c>
      <c r="T421" s="2">
        <f ca="1">IFERROR(__xludf.DUMMYFUNCTION("""COMPUTED_VALUE"""),2024)</f>
        <v>2024</v>
      </c>
      <c r="U421" s="2" t="str">
        <f ca="1">IFERROR(__xludf.DUMMYFUNCTION("""COMPUTED_VALUE"""),"0536")</f>
        <v>0536</v>
      </c>
      <c r="V421" s="2" t="str">
        <f ca="1">IFERROR(__xludf.DUMMYFUNCTION("""COMPUTED_VALUE"""),"08.003.0008.0244.0118.2032.33.90.32")</f>
        <v>08.003.0008.0244.0118.2032.33.90.32</v>
      </c>
      <c r="W421" s="2" t="str">
        <f ca="1">IFERROR(__xludf.DUMMYFUNCTION("""COMPUTED_VALUE"""),"0")</f>
        <v>0</v>
      </c>
      <c r="X421" s="2"/>
      <c r="Y421" s="2"/>
      <c r="Z421" s="2"/>
      <c r="AA421" s="2"/>
      <c r="AB421" s="2"/>
      <c r="AC421" s="2"/>
      <c r="AD421" s="2"/>
      <c r="AE421" s="2"/>
      <c r="AF421" s="2"/>
    </row>
    <row r="422" spans="1:3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>
        <f ca="1">IFERROR(__xludf.DUMMYFUNCTION("""COMPUTED_VALUE"""),2023)</f>
        <v>2023</v>
      </c>
      <c r="Q422" s="2" t="str">
        <f ca="1">IFERROR(__xludf.DUMMYFUNCTION("""COMPUTED_VALUE"""),"0474")</f>
        <v>0474</v>
      </c>
      <c r="R422" s="2" t="str">
        <f ca="1">IFERROR(__xludf.DUMMYFUNCTION("""COMPUTED_VALUE"""),"18.001.0004.0121.0140.2023.33.90.37")</f>
        <v>18.001.0004.0121.0140.2023.33.90.37</v>
      </c>
      <c r="S422" s="2" t="str">
        <f ca="1">IFERROR(__xludf.DUMMYFUNCTION("""COMPUTED_VALUE"""),"0000")</f>
        <v>0000</v>
      </c>
      <c r="T422" s="2">
        <f ca="1">IFERROR(__xludf.DUMMYFUNCTION("""COMPUTED_VALUE"""),2024)</f>
        <v>2024</v>
      </c>
      <c r="U422" s="2" t="str">
        <f ca="1">IFERROR(__xludf.DUMMYFUNCTION("""COMPUTED_VALUE"""),"0565")</f>
        <v>0565</v>
      </c>
      <c r="V422" s="2" t="str">
        <f ca="1">IFERROR(__xludf.DUMMYFUNCTION("""COMPUTED_VALUE"""),"08.003.0008.0244.0118.2032.33.90.33")</f>
        <v>08.003.0008.0244.0118.2032.33.90.33</v>
      </c>
      <c r="W422" s="2" t="str">
        <f ca="1">IFERROR(__xludf.DUMMYFUNCTION("""COMPUTED_VALUE"""),"0")</f>
        <v>0</v>
      </c>
      <c r="X422" s="2"/>
      <c r="Y422" s="2"/>
      <c r="Z422" s="2"/>
      <c r="AA422" s="2"/>
      <c r="AB422" s="2"/>
      <c r="AC422" s="2"/>
      <c r="AD422" s="2"/>
      <c r="AE422" s="2"/>
      <c r="AF422" s="2"/>
    </row>
    <row r="423" spans="1:32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>
        <f ca="1">IFERROR(__xludf.DUMMYFUNCTION("""COMPUTED_VALUE"""),2023)</f>
        <v>2023</v>
      </c>
      <c r="Q423" s="2" t="str">
        <f ca="1">IFERROR(__xludf.DUMMYFUNCTION("""COMPUTED_VALUE"""),"0475")</f>
        <v>0475</v>
      </c>
      <c r="R423" s="2" t="str">
        <f ca="1">IFERROR(__xludf.DUMMYFUNCTION("""COMPUTED_VALUE"""),"18.002.0006.0181.0140.2024.33.90.37")</f>
        <v>18.002.0006.0181.0140.2024.33.90.37</v>
      </c>
      <c r="S423" s="2" t="str">
        <f ca="1">IFERROR(__xludf.DUMMYFUNCTION("""COMPUTED_VALUE"""),"0000")</f>
        <v>0000</v>
      </c>
      <c r="T423" s="2">
        <f ca="1">IFERROR(__xludf.DUMMYFUNCTION("""COMPUTED_VALUE"""),2024)</f>
        <v>2024</v>
      </c>
      <c r="U423" s="2" t="str">
        <f ca="1">IFERROR(__xludf.DUMMYFUNCTION("""COMPUTED_VALUE"""),"0566")</f>
        <v>0566</v>
      </c>
      <c r="V423" s="2" t="str">
        <f ca="1">IFERROR(__xludf.DUMMYFUNCTION("""COMPUTED_VALUE"""),"08.003.0008.0244.0118.2032.33.90.36")</f>
        <v>08.003.0008.0244.0118.2032.33.90.36</v>
      </c>
      <c r="W423" s="2" t="str">
        <f ca="1">IFERROR(__xludf.DUMMYFUNCTION("""COMPUTED_VALUE"""),"0")</f>
        <v>0</v>
      </c>
      <c r="X423" s="2"/>
      <c r="Y423" s="2"/>
      <c r="Z423" s="2"/>
      <c r="AA423" s="2"/>
      <c r="AB423" s="2"/>
      <c r="AC423" s="2"/>
      <c r="AD423" s="2"/>
      <c r="AE423" s="2"/>
      <c r="AF423" s="2"/>
    </row>
    <row r="424" spans="1:32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>
        <f ca="1">IFERROR(__xludf.DUMMYFUNCTION("""COMPUTED_VALUE"""),2023)</f>
        <v>2023</v>
      </c>
      <c r="Q424" s="2" t="str">
        <f ca="1">IFERROR(__xludf.DUMMYFUNCTION("""COMPUTED_VALUE"""),"0476")</f>
        <v>0476</v>
      </c>
      <c r="R424" s="2" t="str">
        <f ca="1">IFERROR(__xludf.DUMMYFUNCTION("""COMPUTED_VALUE"""),"18.002.0006.0182.0140.2026.33.90.37")</f>
        <v>18.002.0006.0182.0140.2026.33.90.37</v>
      </c>
      <c r="S424" s="2" t="str">
        <f ca="1">IFERROR(__xludf.DUMMYFUNCTION("""COMPUTED_VALUE"""),"0000")</f>
        <v>0000</v>
      </c>
      <c r="T424" s="2">
        <f ca="1">IFERROR(__xludf.DUMMYFUNCTION("""COMPUTED_VALUE"""),2024)</f>
        <v>2024</v>
      </c>
      <c r="U424" s="2" t="str">
        <f ca="1">IFERROR(__xludf.DUMMYFUNCTION("""COMPUTED_VALUE"""),"0567")</f>
        <v>0567</v>
      </c>
      <c r="V424" s="2" t="str">
        <f ca="1">IFERROR(__xludf.DUMMYFUNCTION("""COMPUTED_VALUE"""),"08.003.0008.0244.0118.2032.33.90.39")</f>
        <v>08.003.0008.0244.0118.2032.33.90.39</v>
      </c>
      <c r="W424" s="2" t="str">
        <f ca="1">IFERROR(__xludf.DUMMYFUNCTION("""COMPUTED_VALUE"""),"0")</f>
        <v>0</v>
      </c>
      <c r="X424" s="2"/>
      <c r="Y424" s="2"/>
      <c r="Z424" s="2"/>
      <c r="AA424" s="2"/>
      <c r="AB424" s="2"/>
      <c r="AC424" s="2"/>
      <c r="AD424" s="2"/>
      <c r="AE424" s="2"/>
      <c r="AF424" s="2"/>
    </row>
    <row r="425" spans="1:32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>
        <f ca="1">IFERROR(__xludf.DUMMYFUNCTION("""COMPUTED_VALUE"""),2023)</f>
        <v>2023</v>
      </c>
      <c r="Q425" s="2" t="str">
        <f ca="1">IFERROR(__xludf.DUMMYFUNCTION("""COMPUTED_VALUE"""),"0477")</f>
        <v>0477</v>
      </c>
      <c r="R425" s="2" t="str">
        <f ca="1">IFERROR(__xludf.DUMMYFUNCTION("""COMPUTED_VALUE"""),"18.002.0006.0182.0140.2026.33.90.37")</f>
        <v>18.002.0006.0182.0140.2026.33.90.37</v>
      </c>
      <c r="S425" s="2" t="str">
        <f ca="1">IFERROR(__xludf.DUMMYFUNCTION("""COMPUTED_VALUE"""),"00515")</f>
        <v>00515</v>
      </c>
      <c r="T425" s="2">
        <f ca="1">IFERROR(__xludf.DUMMYFUNCTION("""COMPUTED_VALUE"""),2024)</f>
        <v>2024</v>
      </c>
      <c r="U425" s="2" t="str">
        <f ca="1">IFERROR(__xludf.DUMMYFUNCTION("""COMPUTED_VALUE"""),"0568")</f>
        <v>0568</v>
      </c>
      <c r="V425" s="2" t="str">
        <f ca="1">IFERROR(__xludf.DUMMYFUNCTION("""COMPUTED_VALUE"""),"08.003.0008.0244.0118.2032.33.90.48")</f>
        <v>08.003.0008.0244.0118.2032.33.90.48</v>
      </c>
      <c r="W425" s="2" t="str">
        <f ca="1">IFERROR(__xludf.DUMMYFUNCTION("""COMPUTED_VALUE"""),"0")</f>
        <v>0</v>
      </c>
      <c r="X425" s="2"/>
      <c r="Y425" s="2"/>
      <c r="Z425" s="2"/>
      <c r="AA425" s="2"/>
      <c r="AB425" s="2"/>
      <c r="AC425" s="2"/>
      <c r="AD425" s="2"/>
      <c r="AE425" s="2"/>
      <c r="AF425" s="2"/>
    </row>
    <row r="426" spans="1:32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>
        <f ca="1">IFERROR(__xludf.DUMMYFUNCTION("""COMPUTED_VALUE"""),2023)</f>
        <v>2023</v>
      </c>
      <c r="Q426" s="2" t="str">
        <f ca="1">IFERROR(__xludf.DUMMYFUNCTION("""COMPUTED_VALUE"""),"0478")</f>
        <v>0478</v>
      </c>
      <c r="R426" s="2" t="str">
        <f ca="1">IFERROR(__xludf.DUMMYFUNCTION("""COMPUTED_VALUE"""),"18.003.0015.0452.0140.2027.33.90.37")</f>
        <v>18.003.0015.0452.0140.2027.33.90.37</v>
      </c>
      <c r="S426" s="2" t="str">
        <f ca="1">IFERROR(__xludf.DUMMYFUNCTION("""COMPUTED_VALUE"""),"0000")</f>
        <v>0000</v>
      </c>
      <c r="T426" s="2">
        <f ca="1">IFERROR(__xludf.DUMMYFUNCTION("""COMPUTED_VALUE"""),2024)</f>
        <v>2024</v>
      </c>
      <c r="U426" s="2" t="str">
        <f ca="1">IFERROR(__xludf.DUMMYFUNCTION("""COMPUTED_VALUE"""),"0569")</f>
        <v>0569</v>
      </c>
      <c r="V426" s="2" t="str">
        <f ca="1">IFERROR(__xludf.DUMMYFUNCTION("""COMPUTED_VALUE"""),"08.005.0008.0243.0118.5000.44.50.42")</f>
        <v>08.005.0008.0243.0118.5000.44.50.42</v>
      </c>
      <c r="W426" s="2" t="str">
        <f ca="1">IFERROR(__xludf.DUMMYFUNCTION("""COMPUTED_VALUE"""),"0")</f>
        <v>0</v>
      </c>
      <c r="X426" s="2"/>
      <c r="Y426" s="2"/>
      <c r="Z426" s="2"/>
      <c r="AA426" s="2"/>
      <c r="AB426" s="2"/>
      <c r="AC426" s="2"/>
      <c r="AD426" s="2"/>
      <c r="AE426" s="2"/>
      <c r="AF426" s="2"/>
    </row>
    <row r="427" spans="1:32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>
        <f ca="1">IFERROR(__xludf.DUMMYFUNCTION("""COMPUTED_VALUE"""),2023)</f>
        <v>2023</v>
      </c>
      <c r="Q427" s="2" t="str">
        <f ca="1">IFERROR(__xludf.DUMMYFUNCTION("""COMPUTED_VALUE"""),"0479")</f>
        <v>0479</v>
      </c>
      <c r="R427" s="2" t="str">
        <f ca="1">IFERROR(__xludf.DUMMYFUNCTION("""COMPUTED_VALUE"""),"18.003.0015.0452.0140.2027.33.90.37")</f>
        <v>18.003.0015.0452.0140.2027.33.90.37</v>
      </c>
      <c r="S427" s="2" t="str">
        <f ca="1">IFERROR(__xludf.DUMMYFUNCTION("""COMPUTED_VALUE"""),"00509")</f>
        <v>00509</v>
      </c>
      <c r="T427" s="2">
        <f ca="1">IFERROR(__xludf.DUMMYFUNCTION("""COMPUTED_VALUE"""),2024)</f>
        <v>2024</v>
      </c>
      <c r="U427" s="2" t="str">
        <f ca="1">IFERROR(__xludf.DUMMYFUNCTION("""COMPUTED_VALUE"""),"0570")</f>
        <v>0570</v>
      </c>
      <c r="V427" s="2" t="str">
        <f ca="1">IFERROR(__xludf.DUMMYFUNCTION("""COMPUTED_VALUE"""),"08.005.0008.0243.0118.5000.44.50.42")</f>
        <v>08.005.0008.0243.0118.5000.44.50.42</v>
      </c>
      <c r="W427" s="2" t="str">
        <f ca="1">IFERROR(__xludf.DUMMYFUNCTION("""COMPUTED_VALUE"""),"0")</f>
        <v>0</v>
      </c>
      <c r="X427" s="2"/>
      <c r="Y427" s="2"/>
      <c r="Z427" s="2"/>
      <c r="AA427" s="2"/>
      <c r="AB427" s="2"/>
      <c r="AC427" s="2"/>
      <c r="AD427" s="2"/>
      <c r="AE427" s="2"/>
      <c r="AF427" s="2"/>
    </row>
    <row r="428" spans="1:32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>
        <f ca="1">IFERROR(__xludf.DUMMYFUNCTION("""COMPUTED_VALUE"""),2023)</f>
        <v>2023</v>
      </c>
      <c r="Q428" s="2" t="str">
        <f ca="1">IFERROR(__xludf.DUMMYFUNCTION("""COMPUTED_VALUE"""),"0480")</f>
        <v>0480</v>
      </c>
      <c r="R428" s="2" t="str">
        <f ca="1">IFERROR(__xludf.DUMMYFUNCTION("""COMPUTED_VALUE"""),"18.004.0006.0181.0140.2142.33.90.37")</f>
        <v>18.004.0006.0181.0140.2142.33.90.37</v>
      </c>
      <c r="S428" s="2" t="str">
        <f ca="1">IFERROR(__xludf.DUMMYFUNCTION("""COMPUTED_VALUE"""),"0000")</f>
        <v>0000</v>
      </c>
      <c r="T428" s="2">
        <f ca="1">IFERROR(__xludf.DUMMYFUNCTION("""COMPUTED_VALUE"""),2024)</f>
        <v>2024</v>
      </c>
      <c r="U428" s="2" t="str">
        <f ca="1">IFERROR(__xludf.DUMMYFUNCTION("""COMPUTED_VALUE"""),"1170")</f>
        <v>1170</v>
      </c>
      <c r="V428" s="2" t="str">
        <f ca="1">IFERROR(__xludf.DUMMYFUNCTION("""COMPUTED_VALUE"""),"08.005.0008.0243.0118.5000.44.90.52")</f>
        <v>08.005.0008.0243.0118.5000.44.90.52</v>
      </c>
      <c r="W428" s="2" t="str">
        <f ca="1">IFERROR(__xludf.DUMMYFUNCTION("""COMPUTED_VALUE"""),"880")</f>
        <v>880</v>
      </c>
      <c r="X428" s="2"/>
      <c r="Y428" s="2"/>
      <c r="Z428" s="2"/>
      <c r="AA428" s="2"/>
      <c r="AB428" s="2"/>
      <c r="AC428" s="2"/>
      <c r="AD428" s="2"/>
      <c r="AE428" s="2"/>
      <c r="AF428" s="2"/>
    </row>
    <row r="429" spans="1:32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>
        <f ca="1">IFERROR(__xludf.DUMMYFUNCTION("""COMPUTED_VALUE"""),2023)</f>
        <v>2023</v>
      </c>
      <c r="Q429" s="2" t="str">
        <f ca="1">IFERROR(__xludf.DUMMYFUNCTION("""COMPUTED_VALUE"""),"0481")</f>
        <v>0481</v>
      </c>
      <c r="R429" s="2" t="str">
        <f ca="1">IFERROR(__xludf.DUMMYFUNCTION("""COMPUTED_VALUE"""),"18.004.0006.0182.0140.2144.33.90.37")</f>
        <v>18.004.0006.0182.0140.2144.33.90.37</v>
      </c>
      <c r="S429" s="2" t="str">
        <f ca="1">IFERROR(__xludf.DUMMYFUNCTION("""COMPUTED_VALUE"""),"0000")</f>
        <v>0000</v>
      </c>
      <c r="T429" s="2">
        <f ca="1">IFERROR(__xludf.DUMMYFUNCTION("""COMPUTED_VALUE"""),2024)</f>
        <v>2024</v>
      </c>
      <c r="U429" s="2" t="str">
        <f ca="1">IFERROR(__xludf.DUMMYFUNCTION("""COMPUTED_VALUE"""),"0571")</f>
        <v>0571</v>
      </c>
      <c r="V429" s="2" t="str">
        <f ca="1">IFERROR(__xludf.DUMMYFUNCTION("""COMPUTED_VALUE"""),"08.005.0008.0243.0118.5000.44.90.52")</f>
        <v>08.005.0008.0243.0118.5000.44.90.52</v>
      </c>
      <c r="W429" s="2" t="str">
        <f ca="1">IFERROR(__xludf.DUMMYFUNCTION("""COMPUTED_VALUE"""),"0")</f>
        <v>0</v>
      </c>
      <c r="X429" s="2"/>
      <c r="Y429" s="2"/>
      <c r="Z429" s="2"/>
      <c r="AA429" s="2"/>
      <c r="AB429" s="2"/>
      <c r="AC429" s="2"/>
      <c r="AD429" s="2"/>
      <c r="AE429" s="2"/>
      <c r="AF429" s="2"/>
    </row>
    <row r="430" spans="1:32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>
        <f ca="1">IFERROR(__xludf.DUMMYFUNCTION("""COMPUTED_VALUE"""),2023)</f>
        <v>2023</v>
      </c>
      <c r="Q430" s="2" t="str">
        <f ca="1">IFERROR(__xludf.DUMMYFUNCTION("""COMPUTED_VALUE"""),"0482")</f>
        <v>0482</v>
      </c>
      <c r="R430" s="2" t="str">
        <f ca="1">IFERROR(__xludf.DUMMYFUNCTION("""COMPUTED_VALUE"""),"18.004.0015.0452.0140.2145.33.90.37")</f>
        <v>18.004.0015.0452.0140.2145.33.90.37</v>
      </c>
      <c r="S430" s="2" t="str">
        <f ca="1">IFERROR(__xludf.DUMMYFUNCTION("""COMPUTED_VALUE"""),"0000")</f>
        <v>0000</v>
      </c>
      <c r="T430" s="2">
        <f ca="1">IFERROR(__xludf.DUMMYFUNCTION("""COMPUTED_VALUE"""),2024)</f>
        <v>2024</v>
      </c>
      <c r="U430" s="2" t="str">
        <f ca="1">IFERROR(__xludf.DUMMYFUNCTION("""COMPUTED_VALUE"""),"1171")</f>
        <v>1171</v>
      </c>
      <c r="V430" s="2" t="str">
        <f ca="1">IFERROR(__xludf.DUMMYFUNCTION("""COMPUTED_VALUE"""),"08.005.0008.0243.0118.5000.44.90.93")</f>
        <v>08.005.0008.0243.0118.5000.44.90.93</v>
      </c>
      <c r="W430" s="2" t="str">
        <f ca="1">IFERROR(__xludf.DUMMYFUNCTION("""COMPUTED_VALUE"""),"914")</f>
        <v>914</v>
      </c>
      <c r="X430" s="2"/>
      <c r="Y430" s="2"/>
      <c r="Z430" s="2"/>
      <c r="AA430" s="2"/>
      <c r="AB430" s="2"/>
      <c r="AC430" s="2"/>
      <c r="AD430" s="2"/>
      <c r="AE430" s="2"/>
      <c r="AF430" s="2"/>
    </row>
    <row r="431" spans="1:32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>
        <f ca="1">IFERROR(__xludf.DUMMYFUNCTION("""COMPUTED_VALUE"""),2023)</f>
        <v>2023</v>
      </c>
      <c r="Q431" s="2" t="str">
        <f ca="1">IFERROR(__xludf.DUMMYFUNCTION("""COMPUTED_VALUE"""),"0483")</f>
        <v>0483</v>
      </c>
      <c r="R431" s="2" t="str">
        <f ca="1">IFERROR(__xludf.DUMMYFUNCTION("""COMPUTED_VALUE"""),"14.001.0028.0061.0000.0001.33.90.39")</f>
        <v>14.001.0028.0061.0000.0001.33.90.39</v>
      </c>
      <c r="S431" s="2" t="str">
        <f ca="1">IFERROR(__xludf.DUMMYFUNCTION("""COMPUTED_VALUE"""),"0000")</f>
        <v>0000</v>
      </c>
      <c r="T431" s="2">
        <f ca="1">IFERROR(__xludf.DUMMYFUNCTION("""COMPUTED_VALUE"""),2024)</f>
        <v>2024</v>
      </c>
      <c r="U431" s="2" t="str">
        <f ca="1">IFERROR(__xludf.DUMMYFUNCTION("""COMPUTED_VALUE"""),"0572")</f>
        <v>0572</v>
      </c>
      <c r="V431" s="2" t="str">
        <f ca="1">IFERROR(__xludf.DUMMYFUNCTION("""COMPUTED_VALUE"""),"08.005.0008.0243.0118.6001.31.50.43")</f>
        <v>08.005.0008.0243.0118.6001.31.50.43</v>
      </c>
      <c r="W431" s="2" t="str">
        <f ca="1">IFERROR(__xludf.DUMMYFUNCTION("""COMPUTED_VALUE"""),"0")</f>
        <v>0</v>
      </c>
      <c r="X431" s="2"/>
      <c r="Y431" s="2"/>
      <c r="Z431" s="2"/>
      <c r="AA431" s="2"/>
      <c r="AB431" s="2"/>
      <c r="AC431" s="2"/>
      <c r="AD431" s="2"/>
      <c r="AE431" s="2"/>
      <c r="AF431" s="2"/>
    </row>
    <row r="432" spans="1: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>
        <f ca="1">IFERROR(__xludf.DUMMYFUNCTION("""COMPUTED_VALUE"""),2023)</f>
        <v>2023</v>
      </c>
      <c r="Q432" s="2" t="str">
        <f ca="1">IFERROR(__xludf.DUMMYFUNCTION("""COMPUTED_VALUE"""),"0484")</f>
        <v>0484</v>
      </c>
      <c r="R432" s="2" t="str">
        <f ca="1">IFERROR(__xludf.DUMMYFUNCTION("""COMPUTED_VALUE"""),"02.001.0004.0121.0022.2104.33.90.39")</f>
        <v>02.001.0004.0121.0022.2104.33.90.39</v>
      </c>
      <c r="S432" s="2" t="str">
        <f ca="1">IFERROR(__xludf.DUMMYFUNCTION("""COMPUTED_VALUE"""),"0000")</f>
        <v>0000</v>
      </c>
      <c r="T432" s="2">
        <f ca="1">IFERROR(__xludf.DUMMYFUNCTION("""COMPUTED_VALUE"""),2024)</f>
        <v>2024</v>
      </c>
      <c r="U432" s="2" t="str">
        <f ca="1">IFERROR(__xludf.DUMMYFUNCTION("""COMPUTED_VALUE"""),"0575")</f>
        <v>0575</v>
      </c>
      <c r="V432" s="2" t="str">
        <f ca="1">IFERROR(__xludf.DUMMYFUNCTION("""COMPUTED_VALUE"""),"08.005.0008.0243.0118.6001.31.50.43")</f>
        <v>08.005.0008.0243.0118.6001.31.50.43</v>
      </c>
      <c r="W432" s="2" t="str">
        <f ca="1">IFERROR(__xludf.DUMMYFUNCTION("""COMPUTED_VALUE"""),"0")</f>
        <v>0</v>
      </c>
      <c r="X432" s="2"/>
      <c r="Y432" s="2"/>
      <c r="Z432" s="2"/>
      <c r="AA432" s="2"/>
      <c r="AB432" s="2"/>
      <c r="AC432" s="2"/>
      <c r="AD432" s="2"/>
      <c r="AE432" s="2"/>
      <c r="AF432" s="2"/>
    </row>
    <row r="433" spans="1:32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>
        <f ca="1">IFERROR(__xludf.DUMMYFUNCTION("""COMPUTED_VALUE"""),2023)</f>
        <v>2023</v>
      </c>
      <c r="Q433" s="2" t="str">
        <f ca="1">IFERROR(__xludf.DUMMYFUNCTION("""COMPUTED_VALUE"""),"0485")</f>
        <v>0485</v>
      </c>
      <c r="R433" s="2" t="str">
        <f ca="1">IFERROR(__xludf.DUMMYFUNCTION("""COMPUTED_VALUE"""),"02.004.0024.0131.0022.2105.33.90.39")</f>
        <v>02.004.0024.0131.0022.2105.33.90.39</v>
      </c>
      <c r="S433" s="2" t="str">
        <f ca="1">IFERROR(__xludf.DUMMYFUNCTION("""COMPUTED_VALUE"""),"0000")</f>
        <v>0000</v>
      </c>
      <c r="T433" s="2">
        <f ca="1">IFERROR(__xludf.DUMMYFUNCTION("""COMPUTED_VALUE"""),2024)</f>
        <v>2024</v>
      </c>
      <c r="U433" s="2" t="str">
        <f ca="1">IFERROR(__xludf.DUMMYFUNCTION("""COMPUTED_VALUE"""),"0590")</f>
        <v>0590</v>
      </c>
      <c r="V433" s="2" t="str">
        <f ca="1">IFERROR(__xludf.DUMMYFUNCTION("""COMPUTED_VALUE"""),"08.005.0008.0243.0118.6001.33.50.43")</f>
        <v>08.005.0008.0243.0118.6001.33.50.43</v>
      </c>
      <c r="W433" s="2" t="str">
        <f ca="1">IFERROR(__xludf.DUMMYFUNCTION("""COMPUTED_VALUE"""),"880")</f>
        <v>880</v>
      </c>
      <c r="X433" s="2"/>
      <c r="Y433" s="2"/>
      <c r="Z433" s="2"/>
      <c r="AA433" s="2"/>
      <c r="AB433" s="2"/>
      <c r="AC433" s="2"/>
      <c r="AD433" s="2"/>
      <c r="AE433" s="2"/>
      <c r="AF433" s="2"/>
    </row>
    <row r="434" spans="1:32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>
        <f ca="1">IFERROR(__xludf.DUMMYFUNCTION("""COMPUTED_VALUE"""),2023)</f>
        <v>2023</v>
      </c>
      <c r="Q434" s="2" t="str">
        <f ca="1">IFERROR(__xludf.DUMMYFUNCTION("""COMPUTED_VALUE"""),"0486")</f>
        <v>0486</v>
      </c>
      <c r="R434" s="2" t="str">
        <f ca="1">IFERROR(__xludf.DUMMYFUNCTION("""COMPUTED_VALUE"""),"02.004.0004.0122.0022.2106.33.90.39")</f>
        <v>02.004.0004.0122.0022.2106.33.90.39</v>
      </c>
      <c r="S434" s="2" t="str">
        <f ca="1">IFERROR(__xludf.DUMMYFUNCTION("""COMPUTED_VALUE"""),"0000")</f>
        <v>0000</v>
      </c>
      <c r="T434" s="2">
        <f ca="1">IFERROR(__xludf.DUMMYFUNCTION("""COMPUTED_VALUE"""),2024)</f>
        <v>2024</v>
      </c>
      <c r="U434" s="2" t="str">
        <f ca="1">IFERROR(__xludf.DUMMYFUNCTION("""COMPUTED_VALUE"""),"0576")</f>
        <v>0576</v>
      </c>
      <c r="V434" s="2" t="str">
        <f ca="1">IFERROR(__xludf.DUMMYFUNCTION("""COMPUTED_VALUE"""),"08.005.0008.0243.0118.6001.33.50.43")</f>
        <v>08.005.0008.0243.0118.6001.33.50.43</v>
      </c>
      <c r="W434" s="2" t="str">
        <f ca="1">IFERROR(__xludf.DUMMYFUNCTION("""COMPUTED_VALUE"""),"0")</f>
        <v>0</v>
      </c>
      <c r="X434" s="2"/>
      <c r="Y434" s="2"/>
      <c r="Z434" s="2"/>
      <c r="AA434" s="2"/>
      <c r="AB434" s="2"/>
      <c r="AC434" s="2"/>
      <c r="AD434" s="2"/>
      <c r="AE434" s="2"/>
      <c r="AF434" s="2"/>
    </row>
    <row r="435" spans="1:32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>
        <f ca="1">IFERROR(__xludf.DUMMYFUNCTION("""COMPUTED_VALUE"""),2023)</f>
        <v>2023</v>
      </c>
      <c r="Q435" s="2" t="str">
        <f ca="1">IFERROR(__xludf.DUMMYFUNCTION("""COMPUTED_VALUE"""),"0487")</f>
        <v>0487</v>
      </c>
      <c r="R435" s="2" t="str">
        <f ca="1">IFERROR(__xludf.DUMMYFUNCTION("""COMPUTED_VALUE"""),"02.004.0004.0122.0022.2107.33.90.39")</f>
        <v>02.004.0004.0122.0022.2107.33.90.39</v>
      </c>
      <c r="S435" s="2" t="str">
        <f ca="1">IFERROR(__xludf.DUMMYFUNCTION("""COMPUTED_VALUE"""),"0000")</f>
        <v>0000</v>
      </c>
      <c r="T435" s="2">
        <f ca="1">IFERROR(__xludf.DUMMYFUNCTION("""COMPUTED_VALUE"""),2024)</f>
        <v>2024</v>
      </c>
      <c r="U435" s="2" t="str">
        <f ca="1">IFERROR(__xludf.DUMMYFUNCTION("""COMPUTED_VALUE"""),"0591")</f>
        <v>0591</v>
      </c>
      <c r="V435" s="2" t="str">
        <f ca="1">IFERROR(__xludf.DUMMYFUNCTION("""COMPUTED_VALUE"""),"08.005.0008.0243.0118.6001.33.71.70")</f>
        <v>08.005.0008.0243.0118.6001.33.71.70</v>
      </c>
      <c r="W435" s="2" t="str">
        <f ca="1">IFERROR(__xludf.DUMMYFUNCTION("""COMPUTED_VALUE"""),"880")</f>
        <v>880</v>
      </c>
      <c r="X435" s="2"/>
      <c r="Y435" s="2"/>
      <c r="Z435" s="2"/>
      <c r="AA435" s="2"/>
      <c r="AB435" s="2"/>
      <c r="AC435" s="2"/>
      <c r="AD435" s="2"/>
      <c r="AE435" s="2"/>
      <c r="AF435" s="2"/>
    </row>
    <row r="436" spans="1:32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>
        <f ca="1">IFERROR(__xludf.DUMMYFUNCTION("""COMPUTED_VALUE"""),2023)</f>
        <v>2023</v>
      </c>
      <c r="Q436" s="2" t="str">
        <f ca="1">IFERROR(__xludf.DUMMYFUNCTION("""COMPUTED_VALUE"""),"0488")</f>
        <v>0488</v>
      </c>
      <c r="R436" s="2" t="str">
        <f ca="1">IFERROR(__xludf.DUMMYFUNCTION("""COMPUTED_VALUE"""),"02.004.0024.0122.0022.2108.33.90.39")</f>
        <v>02.004.0024.0122.0022.2108.33.90.39</v>
      </c>
      <c r="S436" s="2" t="str">
        <f ca="1">IFERROR(__xludf.DUMMYFUNCTION("""COMPUTED_VALUE"""),"0000")</f>
        <v>0000</v>
      </c>
      <c r="T436" s="2">
        <f ca="1">IFERROR(__xludf.DUMMYFUNCTION("""COMPUTED_VALUE"""),2024)</f>
        <v>2024</v>
      </c>
      <c r="U436" s="2" t="str">
        <f ca="1">IFERROR(__xludf.DUMMYFUNCTION("""COMPUTED_VALUE"""),"1172")</f>
        <v>1172</v>
      </c>
      <c r="V436" s="2" t="str">
        <f ca="1">IFERROR(__xludf.DUMMYFUNCTION("""COMPUTED_VALUE"""),"08.005.0008.0243.0118.6001.33.90.30")</f>
        <v>08.005.0008.0243.0118.6001.33.90.30</v>
      </c>
      <c r="W436" s="2" t="str">
        <f ca="1">IFERROR(__xludf.DUMMYFUNCTION("""COMPUTED_VALUE"""),"0")</f>
        <v>0</v>
      </c>
      <c r="X436" s="2"/>
      <c r="Y436" s="2"/>
      <c r="Z436" s="2"/>
      <c r="AA436" s="2"/>
      <c r="AB436" s="2"/>
      <c r="AC436" s="2"/>
      <c r="AD436" s="2"/>
      <c r="AE436" s="2"/>
      <c r="AF436" s="2"/>
    </row>
    <row r="437" spans="1:32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>
        <f ca="1">IFERROR(__xludf.DUMMYFUNCTION("""COMPUTED_VALUE"""),2023)</f>
        <v>2023</v>
      </c>
      <c r="Q437" s="2" t="str">
        <f ca="1">IFERROR(__xludf.DUMMYFUNCTION("""COMPUTED_VALUE"""),"0489")</f>
        <v>0489</v>
      </c>
      <c r="R437" s="2" t="str">
        <f ca="1">IFERROR(__xludf.DUMMYFUNCTION("""COMPUTED_VALUE"""),"15.001.0004.0122.0022.2117.33.90.39")</f>
        <v>15.001.0004.0122.0022.2117.33.90.39</v>
      </c>
      <c r="S437" s="2" t="str">
        <f ca="1">IFERROR(__xludf.DUMMYFUNCTION("""COMPUTED_VALUE"""),"0000")</f>
        <v>0000</v>
      </c>
      <c r="T437" s="2">
        <f ca="1">IFERROR(__xludf.DUMMYFUNCTION("""COMPUTED_VALUE"""),2024)</f>
        <v>2024</v>
      </c>
      <c r="U437" s="2" t="str">
        <f ca="1">IFERROR(__xludf.DUMMYFUNCTION("""COMPUTED_VALUE"""),"0577")</f>
        <v>0577</v>
      </c>
      <c r="V437" s="2" t="str">
        <f ca="1">IFERROR(__xludf.DUMMYFUNCTION("""COMPUTED_VALUE"""),"08.005.0008.0243.0118.6001.33.90.30")</f>
        <v>08.005.0008.0243.0118.6001.33.90.30</v>
      </c>
      <c r="W437" s="2" t="str">
        <f ca="1">IFERROR(__xludf.DUMMYFUNCTION("""COMPUTED_VALUE"""),"0")</f>
        <v>0</v>
      </c>
      <c r="X437" s="2"/>
      <c r="Y437" s="2"/>
      <c r="Z437" s="2"/>
      <c r="AA437" s="2"/>
      <c r="AB437" s="2"/>
      <c r="AC437" s="2"/>
      <c r="AD437" s="2"/>
      <c r="AE437" s="2"/>
      <c r="AF437" s="2"/>
    </row>
    <row r="438" spans="1:32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>
        <f ca="1">IFERROR(__xludf.DUMMYFUNCTION("""COMPUTED_VALUE"""),2023)</f>
        <v>2023</v>
      </c>
      <c r="Q438" s="2" t="str">
        <f ca="1">IFERROR(__xludf.DUMMYFUNCTION("""COMPUTED_VALUE"""),"0490")</f>
        <v>0490</v>
      </c>
      <c r="R438" s="2" t="str">
        <f ca="1">IFERROR(__xludf.DUMMYFUNCTION("""COMPUTED_VALUE"""),"02.007.0004.0122.0022.2146.33.90.39")</f>
        <v>02.007.0004.0122.0022.2146.33.90.39</v>
      </c>
      <c r="S438" s="2" t="str">
        <f ca="1">IFERROR(__xludf.DUMMYFUNCTION("""COMPUTED_VALUE"""),"0000")</f>
        <v>0000</v>
      </c>
      <c r="T438" s="2">
        <f ca="1">IFERROR(__xludf.DUMMYFUNCTION("""COMPUTED_VALUE"""),2024)</f>
        <v>2024</v>
      </c>
      <c r="U438" s="2" t="str">
        <f ca="1">IFERROR(__xludf.DUMMYFUNCTION("""COMPUTED_VALUE"""),"0586")</f>
        <v>0586</v>
      </c>
      <c r="V438" s="2" t="str">
        <f ca="1">IFERROR(__xludf.DUMMYFUNCTION("""COMPUTED_VALUE"""),"08.005.0008.0243.0118.6001.33.90.30")</f>
        <v>08.005.0008.0243.0118.6001.33.90.30</v>
      </c>
      <c r="W438" s="2" t="str">
        <f ca="1">IFERROR(__xludf.DUMMYFUNCTION("""COMPUTED_VALUE"""),"879")</f>
        <v>879</v>
      </c>
      <c r="X438" s="2"/>
      <c r="Y438" s="2"/>
      <c r="Z438" s="2"/>
      <c r="AA438" s="2"/>
      <c r="AB438" s="2"/>
      <c r="AC438" s="2"/>
      <c r="AD438" s="2"/>
      <c r="AE438" s="2"/>
      <c r="AF438" s="2"/>
    </row>
    <row r="439" spans="1:32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>
        <f ca="1">IFERROR(__xludf.DUMMYFUNCTION("""COMPUTED_VALUE"""),2023)</f>
        <v>2023</v>
      </c>
      <c r="Q439" s="2" t="str">
        <f ca="1">IFERROR(__xludf.DUMMYFUNCTION("""COMPUTED_VALUE"""),"0491")</f>
        <v>0491</v>
      </c>
      <c r="R439" s="2" t="str">
        <f ca="1">IFERROR(__xludf.DUMMYFUNCTION("""COMPUTED_VALUE"""),"02.008.0004.0131.0022.2147.33.90.39")</f>
        <v>02.008.0004.0131.0022.2147.33.90.39</v>
      </c>
      <c r="S439" s="2" t="str">
        <f ca="1">IFERROR(__xludf.DUMMYFUNCTION("""COMPUTED_VALUE"""),"0000")</f>
        <v>0000</v>
      </c>
      <c r="T439" s="2">
        <f ca="1">IFERROR(__xludf.DUMMYFUNCTION("""COMPUTED_VALUE"""),2024)</f>
        <v>2024</v>
      </c>
      <c r="U439" s="2" t="str">
        <f ca="1">IFERROR(__xludf.DUMMYFUNCTION("""COMPUTED_VALUE"""),"0593")</f>
        <v>0593</v>
      </c>
      <c r="V439" s="2" t="str">
        <f ca="1">IFERROR(__xludf.DUMMYFUNCTION("""COMPUTED_VALUE"""),"08.005.0008.0243.0118.6001.33.90.30")</f>
        <v>08.005.0008.0243.0118.6001.33.90.30</v>
      </c>
      <c r="W439" s="2" t="str">
        <f ca="1">IFERROR(__xludf.DUMMYFUNCTION("""COMPUTED_VALUE"""),"914")</f>
        <v>914</v>
      </c>
      <c r="X439" s="2"/>
      <c r="Y439" s="2"/>
      <c r="Z439" s="2"/>
      <c r="AA439" s="2"/>
      <c r="AB439" s="2"/>
      <c r="AC439" s="2"/>
      <c r="AD439" s="2"/>
      <c r="AE439" s="2"/>
      <c r="AF439" s="2"/>
    </row>
    <row r="440" spans="1:32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>
        <f ca="1">IFERROR(__xludf.DUMMYFUNCTION("""COMPUTED_VALUE"""),2023)</f>
        <v>2023</v>
      </c>
      <c r="Q440" s="2" t="str">
        <f ca="1">IFERROR(__xludf.DUMMYFUNCTION("""COMPUTED_VALUE"""),"0492")</f>
        <v>0492</v>
      </c>
      <c r="R440" s="2" t="str">
        <f ca="1">IFERROR(__xludf.DUMMYFUNCTION("""COMPUTED_VALUE"""),"02.008.0004.0122.0022.2148.33.90.39")</f>
        <v>02.008.0004.0122.0022.2148.33.90.39</v>
      </c>
      <c r="S440" s="2" t="str">
        <f ca="1">IFERROR(__xludf.DUMMYFUNCTION("""COMPUTED_VALUE"""),"0000")</f>
        <v>0000</v>
      </c>
      <c r="T440" s="2">
        <f ca="1">IFERROR(__xludf.DUMMYFUNCTION("""COMPUTED_VALUE"""),2024)</f>
        <v>2024</v>
      </c>
      <c r="U440" s="2" t="str">
        <f ca="1">IFERROR(__xludf.DUMMYFUNCTION("""COMPUTED_VALUE"""),"0595")</f>
        <v>0595</v>
      </c>
      <c r="V440" s="2" t="str">
        <f ca="1">IFERROR(__xludf.DUMMYFUNCTION("""COMPUTED_VALUE"""),"08.005.0008.0243.0118.6001.33.90.32")</f>
        <v>08.005.0008.0243.0118.6001.33.90.32</v>
      </c>
      <c r="W440" s="2" t="str">
        <f ca="1">IFERROR(__xludf.DUMMYFUNCTION("""COMPUTED_VALUE"""),"928")</f>
        <v>928</v>
      </c>
      <c r="X440" s="2"/>
      <c r="Y440" s="2"/>
      <c r="Z440" s="2"/>
      <c r="AA440" s="2"/>
      <c r="AB440" s="2"/>
      <c r="AC440" s="2"/>
      <c r="AD440" s="2"/>
      <c r="AE440" s="2"/>
      <c r="AF440" s="2"/>
    </row>
    <row r="441" spans="1:32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>
        <f ca="1">IFERROR(__xludf.DUMMYFUNCTION("""COMPUTED_VALUE"""),2023)</f>
        <v>2023</v>
      </c>
      <c r="Q441" s="2" t="str">
        <f ca="1">IFERROR(__xludf.DUMMYFUNCTION("""COMPUTED_VALUE"""),"0493")</f>
        <v>0493</v>
      </c>
      <c r="R441" s="2" t="str">
        <f ca="1">IFERROR(__xludf.DUMMYFUNCTION("""COMPUTED_VALUE"""),"02.008.0004.0122.0022.2149.33.90.39")</f>
        <v>02.008.0004.0122.0022.2149.33.90.39</v>
      </c>
      <c r="S441" s="2" t="str">
        <f ca="1">IFERROR(__xludf.DUMMYFUNCTION("""COMPUTED_VALUE"""),"0000")</f>
        <v>0000</v>
      </c>
      <c r="T441" s="2">
        <f ca="1">IFERROR(__xludf.DUMMYFUNCTION("""COMPUTED_VALUE"""),2024)</f>
        <v>2024</v>
      </c>
      <c r="U441" s="2" t="str">
        <f ca="1">IFERROR(__xludf.DUMMYFUNCTION("""COMPUTED_VALUE"""),"0578")</f>
        <v>0578</v>
      </c>
      <c r="V441" s="2" t="str">
        <f ca="1">IFERROR(__xludf.DUMMYFUNCTION("""COMPUTED_VALUE"""),"08.005.0008.0243.0118.6001.33.90.32")</f>
        <v>08.005.0008.0243.0118.6001.33.90.32</v>
      </c>
      <c r="W441" s="2" t="str">
        <f ca="1">IFERROR(__xludf.DUMMYFUNCTION("""COMPUTED_VALUE"""),"0")</f>
        <v>0</v>
      </c>
      <c r="X441" s="2"/>
      <c r="Y441" s="2"/>
      <c r="Z441" s="2"/>
      <c r="AA441" s="2"/>
      <c r="AB441" s="2"/>
      <c r="AC441" s="2"/>
      <c r="AD441" s="2"/>
      <c r="AE441" s="2"/>
      <c r="AF441" s="2"/>
    </row>
    <row r="442" spans="1:3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>
        <f ca="1">IFERROR(__xludf.DUMMYFUNCTION("""COMPUTED_VALUE"""),2023)</f>
        <v>2023</v>
      </c>
      <c r="Q442" s="2" t="str">
        <f ca="1">IFERROR(__xludf.DUMMYFUNCTION("""COMPUTED_VALUE"""),"0494")</f>
        <v>0494</v>
      </c>
      <c r="R442" s="2" t="str">
        <f ca="1">IFERROR(__xludf.DUMMYFUNCTION("""COMPUTED_VALUE"""),"03.001.0004.0122.0030.2033.33.90.39")</f>
        <v>03.001.0004.0122.0030.2033.33.90.39</v>
      </c>
      <c r="S442" s="2" t="str">
        <f ca="1">IFERROR(__xludf.DUMMYFUNCTION("""COMPUTED_VALUE"""),"0000")</f>
        <v>0000</v>
      </c>
      <c r="T442" s="2">
        <f ca="1">IFERROR(__xludf.DUMMYFUNCTION("""COMPUTED_VALUE"""),2024)</f>
        <v>2024</v>
      </c>
      <c r="U442" s="2" t="str">
        <f ca="1">IFERROR(__xludf.DUMMYFUNCTION("""COMPUTED_VALUE"""),"0587")</f>
        <v>0587</v>
      </c>
      <c r="V442" s="2" t="str">
        <f ca="1">IFERROR(__xludf.DUMMYFUNCTION("""COMPUTED_VALUE"""),"08.005.0008.0243.0118.6001.33.90.35")</f>
        <v>08.005.0008.0243.0118.6001.33.90.35</v>
      </c>
      <c r="W442" s="2" t="str">
        <f ca="1">IFERROR(__xludf.DUMMYFUNCTION("""COMPUTED_VALUE"""),"879")</f>
        <v>879</v>
      </c>
      <c r="X442" s="2"/>
      <c r="Y442" s="2"/>
      <c r="Z442" s="2"/>
      <c r="AA442" s="2"/>
      <c r="AB442" s="2"/>
      <c r="AC442" s="2"/>
      <c r="AD442" s="2"/>
      <c r="AE442" s="2"/>
      <c r="AF442" s="2"/>
    </row>
    <row r="443" spans="1:32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>
        <f ca="1">IFERROR(__xludf.DUMMYFUNCTION("""COMPUTED_VALUE"""),2023)</f>
        <v>2023</v>
      </c>
      <c r="Q443" s="2" t="str">
        <f ca="1">IFERROR(__xludf.DUMMYFUNCTION("""COMPUTED_VALUE"""),"0495")</f>
        <v>0495</v>
      </c>
      <c r="R443" s="2" t="str">
        <f ca="1">IFERROR(__xludf.DUMMYFUNCTION("""COMPUTED_VALUE"""),"04.004.0004.0122.0040.1001.33.90.39")</f>
        <v>04.004.0004.0122.0040.1001.33.90.39</v>
      </c>
      <c r="S443" s="2" t="str">
        <f ca="1">IFERROR(__xludf.DUMMYFUNCTION("""COMPUTED_VALUE"""),"0000")</f>
        <v>0000</v>
      </c>
      <c r="T443" s="2">
        <f ca="1">IFERROR(__xludf.DUMMYFUNCTION("""COMPUTED_VALUE"""),2024)</f>
        <v>2024</v>
      </c>
      <c r="U443" s="2" t="str">
        <f ca="1">IFERROR(__xludf.DUMMYFUNCTION("""COMPUTED_VALUE"""),"0579")</f>
        <v>0579</v>
      </c>
      <c r="V443" s="2" t="str">
        <f ca="1">IFERROR(__xludf.DUMMYFUNCTION("""COMPUTED_VALUE"""),"08.005.0008.0243.0118.6001.33.90.36")</f>
        <v>08.005.0008.0243.0118.6001.33.90.36</v>
      </c>
      <c r="W443" s="2" t="str">
        <f ca="1">IFERROR(__xludf.DUMMYFUNCTION("""COMPUTED_VALUE"""),"0")</f>
        <v>0</v>
      </c>
      <c r="X443" s="2"/>
      <c r="Y443" s="2"/>
      <c r="Z443" s="2"/>
      <c r="AA443" s="2"/>
      <c r="AB443" s="2"/>
      <c r="AC443" s="2"/>
      <c r="AD443" s="2"/>
      <c r="AE443" s="2"/>
      <c r="AF443" s="2"/>
    </row>
    <row r="444" spans="1:32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>
        <f ca="1">IFERROR(__xludf.DUMMYFUNCTION("""COMPUTED_VALUE"""),2023)</f>
        <v>2023</v>
      </c>
      <c r="Q444" s="2" t="str">
        <f ca="1">IFERROR(__xludf.DUMMYFUNCTION("""COMPUTED_VALUE"""),"0496")</f>
        <v>0496</v>
      </c>
      <c r="R444" s="2" t="str">
        <f ca="1">IFERROR(__xludf.DUMMYFUNCTION("""COMPUTED_VALUE"""),"04.001.0004.0122.0040.2001.33.90.39")</f>
        <v>04.001.0004.0122.0040.2001.33.90.39</v>
      </c>
      <c r="S444" s="2" t="str">
        <f ca="1">IFERROR(__xludf.DUMMYFUNCTION("""COMPUTED_VALUE"""),"0000")</f>
        <v>0000</v>
      </c>
      <c r="T444" s="2">
        <f ca="1">IFERROR(__xludf.DUMMYFUNCTION("""COMPUTED_VALUE"""),2024)</f>
        <v>2024</v>
      </c>
      <c r="U444" s="2" t="str">
        <f ca="1">IFERROR(__xludf.DUMMYFUNCTION("""COMPUTED_VALUE"""),"0580")</f>
        <v>0580</v>
      </c>
      <c r="V444" s="2" t="str">
        <f ca="1">IFERROR(__xludf.DUMMYFUNCTION("""COMPUTED_VALUE"""),"08.005.0008.0243.0118.6001.33.90.36")</f>
        <v>08.005.0008.0243.0118.6001.33.90.36</v>
      </c>
      <c r="W444" s="2" t="str">
        <f ca="1">IFERROR(__xludf.DUMMYFUNCTION("""COMPUTED_VALUE"""),"0")</f>
        <v>0</v>
      </c>
      <c r="X444" s="2"/>
      <c r="Y444" s="2"/>
      <c r="Z444" s="2"/>
      <c r="AA444" s="2"/>
      <c r="AB444" s="2"/>
      <c r="AC444" s="2"/>
      <c r="AD444" s="2"/>
      <c r="AE444" s="2"/>
      <c r="AF444" s="2"/>
    </row>
    <row r="445" spans="1:32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>
        <f ca="1">IFERROR(__xludf.DUMMYFUNCTION("""COMPUTED_VALUE"""),2023)</f>
        <v>2023</v>
      </c>
      <c r="Q445" s="2" t="str">
        <f ca="1">IFERROR(__xludf.DUMMYFUNCTION("""COMPUTED_VALUE"""),"0497")</f>
        <v>0497</v>
      </c>
      <c r="R445" s="2" t="str">
        <f ca="1">IFERROR(__xludf.DUMMYFUNCTION("""COMPUTED_VALUE"""),"04.001.0004.0122.0040.2003.33.90.39")</f>
        <v>04.001.0004.0122.0040.2003.33.90.39</v>
      </c>
      <c r="S445" s="2" t="str">
        <f ca="1">IFERROR(__xludf.DUMMYFUNCTION("""COMPUTED_VALUE"""),"0000")</f>
        <v>0000</v>
      </c>
      <c r="T445" s="2">
        <f ca="1">IFERROR(__xludf.DUMMYFUNCTION("""COMPUTED_VALUE"""),2024)</f>
        <v>2024</v>
      </c>
      <c r="U445" s="2" t="str">
        <f ca="1">IFERROR(__xludf.DUMMYFUNCTION("""COMPUTED_VALUE"""),"1173")</f>
        <v>1173</v>
      </c>
      <c r="V445" s="2" t="str">
        <f ca="1">IFERROR(__xludf.DUMMYFUNCTION("""COMPUTED_VALUE"""),"08.005.0008.0243.0118.6001.33.90.39")</f>
        <v>08.005.0008.0243.0118.6001.33.90.39</v>
      </c>
      <c r="W445" s="2" t="str">
        <f ca="1">IFERROR(__xludf.DUMMYFUNCTION("""COMPUTED_VALUE"""),"879")</f>
        <v>879</v>
      </c>
      <c r="X445" s="2"/>
      <c r="Y445" s="2"/>
      <c r="Z445" s="2"/>
      <c r="AA445" s="2"/>
      <c r="AB445" s="2"/>
      <c r="AC445" s="2"/>
      <c r="AD445" s="2"/>
      <c r="AE445" s="2"/>
      <c r="AF445" s="2"/>
    </row>
    <row r="446" spans="1:32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>
        <f ca="1">IFERROR(__xludf.DUMMYFUNCTION("""COMPUTED_VALUE"""),2023)</f>
        <v>2023</v>
      </c>
      <c r="Q446" s="2" t="str">
        <f ca="1">IFERROR(__xludf.DUMMYFUNCTION("""COMPUTED_VALUE"""),"0498")</f>
        <v>0498</v>
      </c>
      <c r="R446" s="2" t="str">
        <f ca="1">IFERROR(__xludf.DUMMYFUNCTION("""COMPUTED_VALUE"""),"04.002.0004.0122.0040.2005.33.90.39")</f>
        <v>04.002.0004.0122.0040.2005.33.90.39</v>
      </c>
      <c r="S446" s="2" t="str">
        <f ca="1">IFERROR(__xludf.DUMMYFUNCTION("""COMPUTED_VALUE"""),"0000")</f>
        <v>0000</v>
      </c>
      <c r="T446" s="2">
        <f ca="1">IFERROR(__xludf.DUMMYFUNCTION("""COMPUTED_VALUE"""),2024)</f>
        <v>2024</v>
      </c>
      <c r="U446" s="2" t="str">
        <f ca="1">IFERROR(__xludf.DUMMYFUNCTION("""COMPUTED_VALUE"""),"0581")</f>
        <v>0581</v>
      </c>
      <c r="V446" s="2" t="str">
        <f ca="1">IFERROR(__xludf.DUMMYFUNCTION("""COMPUTED_VALUE"""),"08.005.0008.0243.0118.6001.33.90.39")</f>
        <v>08.005.0008.0243.0118.6001.33.90.39</v>
      </c>
      <c r="W446" s="2" t="str">
        <f ca="1">IFERROR(__xludf.DUMMYFUNCTION("""COMPUTED_VALUE"""),"0")</f>
        <v>0</v>
      </c>
      <c r="X446" s="2"/>
      <c r="Y446" s="2"/>
      <c r="Z446" s="2"/>
      <c r="AA446" s="2"/>
      <c r="AB446" s="2"/>
      <c r="AC446" s="2"/>
      <c r="AD446" s="2"/>
      <c r="AE446" s="2"/>
      <c r="AF446" s="2"/>
    </row>
    <row r="447" spans="1:32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>
        <f ca="1">IFERROR(__xludf.DUMMYFUNCTION("""COMPUTED_VALUE"""),2023)</f>
        <v>2023</v>
      </c>
      <c r="Q447" s="2" t="str">
        <f ca="1">IFERROR(__xludf.DUMMYFUNCTION("""COMPUTED_VALUE"""),"0499")</f>
        <v>0499</v>
      </c>
      <c r="R447" s="2" t="str">
        <f ca="1">IFERROR(__xludf.DUMMYFUNCTION("""COMPUTED_VALUE"""),"04.004.0004.0122.0040.2138.33.90.39")</f>
        <v>04.004.0004.0122.0040.2138.33.90.39</v>
      </c>
      <c r="S447" s="2" t="str">
        <f ca="1">IFERROR(__xludf.DUMMYFUNCTION("""COMPUTED_VALUE"""),"0000")</f>
        <v>0000</v>
      </c>
      <c r="T447" s="2">
        <f ca="1">IFERROR(__xludf.DUMMYFUNCTION("""COMPUTED_VALUE"""),2024)</f>
        <v>2024</v>
      </c>
      <c r="U447" s="2" t="str">
        <f ca="1">IFERROR(__xludf.DUMMYFUNCTION("""COMPUTED_VALUE"""),"0588")</f>
        <v>0588</v>
      </c>
      <c r="V447" s="2" t="str">
        <f ca="1">IFERROR(__xludf.DUMMYFUNCTION("""COMPUTED_VALUE"""),"08.005.0008.0243.0118.6001.33.90.39")</f>
        <v>08.005.0008.0243.0118.6001.33.90.39</v>
      </c>
      <c r="W447" s="2" t="str">
        <f ca="1">IFERROR(__xludf.DUMMYFUNCTION("""COMPUTED_VALUE"""),"879")</f>
        <v>879</v>
      </c>
      <c r="X447" s="2"/>
      <c r="Y447" s="2"/>
      <c r="Z447" s="2"/>
      <c r="AA447" s="2"/>
      <c r="AB447" s="2"/>
      <c r="AC447" s="2"/>
      <c r="AD447" s="2"/>
      <c r="AE447" s="2"/>
      <c r="AF447" s="2"/>
    </row>
    <row r="448" spans="1:32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>
        <f ca="1">IFERROR(__xludf.DUMMYFUNCTION("""COMPUTED_VALUE"""),2023)</f>
        <v>2023</v>
      </c>
      <c r="Q448" s="2" t="str">
        <f ca="1">IFERROR(__xludf.DUMMYFUNCTION("""COMPUTED_VALUE"""),"0500")</f>
        <v>0500</v>
      </c>
      <c r="R448" s="2" t="str">
        <f ca="1">IFERROR(__xludf.DUMMYFUNCTION("""COMPUTED_VALUE"""),"13.001.0004.0124.0051.2048.33.90.39")</f>
        <v>13.001.0004.0124.0051.2048.33.90.39</v>
      </c>
      <c r="S448" s="2" t="str">
        <f ca="1">IFERROR(__xludf.DUMMYFUNCTION("""COMPUTED_VALUE"""),"0000")</f>
        <v>0000</v>
      </c>
      <c r="T448" s="2">
        <f ca="1">IFERROR(__xludf.DUMMYFUNCTION("""COMPUTED_VALUE"""),2024)</f>
        <v>2024</v>
      </c>
      <c r="U448" s="2" t="str">
        <f ca="1">IFERROR(__xludf.DUMMYFUNCTION("""COMPUTED_VALUE"""),"1174")</f>
        <v>1174</v>
      </c>
      <c r="V448" s="2" t="str">
        <f ca="1">IFERROR(__xludf.DUMMYFUNCTION("""COMPUTED_VALUE"""),"08.005.0008.0243.0118.6001.33.90.39")</f>
        <v>08.005.0008.0243.0118.6001.33.90.39</v>
      </c>
      <c r="W448" s="2" t="str">
        <f ca="1">IFERROR(__xludf.DUMMYFUNCTION("""COMPUTED_VALUE"""),"914")</f>
        <v>914</v>
      </c>
      <c r="X448" s="2"/>
      <c r="Y448" s="2"/>
      <c r="Z448" s="2"/>
      <c r="AA448" s="2"/>
      <c r="AB448" s="2"/>
      <c r="AC448" s="2"/>
      <c r="AD448" s="2"/>
      <c r="AE448" s="2"/>
      <c r="AF448" s="2"/>
    </row>
    <row r="449" spans="1:32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>
        <f ca="1">IFERROR(__xludf.DUMMYFUNCTION("""COMPUTED_VALUE"""),2023)</f>
        <v>2023</v>
      </c>
      <c r="Q449" s="2" t="str">
        <f ca="1">IFERROR(__xludf.DUMMYFUNCTION("""COMPUTED_VALUE"""),"0501")</f>
        <v>0501</v>
      </c>
      <c r="R449" s="2" t="str">
        <f ca="1">IFERROR(__xludf.DUMMYFUNCTION("""COMPUTED_VALUE"""),"13.001.0004.0124.0051.2049.33.90.39")</f>
        <v>13.001.0004.0124.0051.2049.33.90.39</v>
      </c>
      <c r="S449" s="2" t="str">
        <f ca="1">IFERROR(__xludf.DUMMYFUNCTION("""COMPUTED_VALUE"""),"0000")</f>
        <v>0000</v>
      </c>
      <c r="T449" s="2">
        <f ca="1">IFERROR(__xludf.DUMMYFUNCTION("""COMPUTED_VALUE"""),2024)</f>
        <v>2024</v>
      </c>
      <c r="U449" s="2" t="str">
        <f ca="1">IFERROR(__xludf.DUMMYFUNCTION("""COMPUTED_VALUE"""),"0596")</f>
        <v>0596</v>
      </c>
      <c r="V449" s="2" t="str">
        <f ca="1">IFERROR(__xludf.DUMMYFUNCTION("""COMPUTED_VALUE"""),"08.005.0008.0243.0118.6001.33.90.40")</f>
        <v>08.005.0008.0243.0118.6001.33.90.40</v>
      </c>
      <c r="W449" s="2" t="str">
        <f ca="1">IFERROR(__xludf.DUMMYFUNCTION("""COMPUTED_VALUE"""),"928")</f>
        <v>928</v>
      </c>
      <c r="X449" s="2"/>
      <c r="Y449" s="2"/>
      <c r="Z449" s="2"/>
      <c r="AA449" s="2"/>
      <c r="AB449" s="2"/>
      <c r="AC449" s="2"/>
      <c r="AD449" s="2"/>
      <c r="AE449" s="2"/>
      <c r="AF449" s="2"/>
    </row>
    <row r="450" spans="1:32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>
        <f ca="1">IFERROR(__xludf.DUMMYFUNCTION("""COMPUTED_VALUE"""),2023)</f>
        <v>2023</v>
      </c>
      <c r="Q450" s="2" t="str">
        <f ca="1">IFERROR(__xludf.DUMMYFUNCTION("""COMPUTED_VALUE"""),"0502")</f>
        <v>0502</v>
      </c>
      <c r="R450" s="2" t="str">
        <f ca="1">IFERROR(__xludf.DUMMYFUNCTION("""COMPUTED_VALUE"""),"05.003.0012.0365.0074.5002.33.90.39")</f>
        <v>05.003.0012.0365.0074.5002.33.90.39</v>
      </c>
      <c r="S450" s="2" t="str">
        <f ca="1">IFERROR(__xludf.DUMMYFUNCTION("""COMPUTED_VALUE"""),"00129")</f>
        <v>00129</v>
      </c>
      <c r="T450" s="2">
        <f ca="1">IFERROR(__xludf.DUMMYFUNCTION("""COMPUTED_VALUE"""),2024)</f>
        <v>2024</v>
      </c>
      <c r="U450" s="2" t="str">
        <f ca="1">IFERROR(__xludf.DUMMYFUNCTION("""COMPUTED_VALUE"""),"0582")</f>
        <v>0582</v>
      </c>
      <c r="V450" s="2" t="str">
        <f ca="1">IFERROR(__xludf.DUMMYFUNCTION("""COMPUTED_VALUE"""),"08.005.0008.0243.0118.6001.33.90.48")</f>
        <v>08.005.0008.0243.0118.6001.33.90.48</v>
      </c>
      <c r="W450" s="2" t="str">
        <f ca="1">IFERROR(__xludf.DUMMYFUNCTION("""COMPUTED_VALUE"""),"0")</f>
        <v>0</v>
      </c>
      <c r="X450" s="2"/>
      <c r="Y450" s="2"/>
      <c r="Z450" s="2"/>
      <c r="AA450" s="2"/>
      <c r="AB450" s="2"/>
      <c r="AC450" s="2"/>
      <c r="AD450" s="2"/>
      <c r="AE450" s="2"/>
      <c r="AF450" s="2"/>
    </row>
    <row r="451" spans="1:32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>
        <f ca="1">IFERROR(__xludf.DUMMYFUNCTION("""COMPUTED_VALUE"""),2023)</f>
        <v>2023</v>
      </c>
      <c r="Q451" s="2" t="str">
        <f ca="1">IFERROR(__xludf.DUMMYFUNCTION("""COMPUTED_VALUE"""),"0503")</f>
        <v>0503</v>
      </c>
      <c r="R451" s="2" t="str">
        <f ca="1">IFERROR(__xludf.DUMMYFUNCTION("""COMPUTED_VALUE"""),"05.001.0012.0365.0074.5008.33.90.39")</f>
        <v>05.001.0012.0365.0074.5008.33.90.39</v>
      </c>
      <c r="S451" s="2" t="str">
        <f ca="1">IFERROR(__xludf.DUMMYFUNCTION("""COMPUTED_VALUE"""),"00102")</f>
        <v>00102</v>
      </c>
      <c r="T451" s="2">
        <f ca="1">IFERROR(__xludf.DUMMYFUNCTION("""COMPUTED_VALUE"""),2024)</f>
        <v>2024</v>
      </c>
      <c r="U451" s="2" t="str">
        <f ca="1">IFERROR(__xludf.DUMMYFUNCTION("""COMPUTED_VALUE"""),"0583")</f>
        <v>0583</v>
      </c>
      <c r="V451" s="2" t="str">
        <f ca="1">IFERROR(__xludf.DUMMYFUNCTION("""COMPUTED_VALUE"""),"08.005.0008.0243.0118.6001.33.90.48")</f>
        <v>08.005.0008.0243.0118.6001.33.90.48</v>
      </c>
      <c r="W451" s="2" t="str">
        <f ca="1">IFERROR(__xludf.DUMMYFUNCTION("""COMPUTED_VALUE"""),"0")</f>
        <v>0</v>
      </c>
      <c r="X451" s="2"/>
      <c r="Y451" s="2"/>
      <c r="Z451" s="2"/>
      <c r="AA451" s="2"/>
      <c r="AB451" s="2"/>
      <c r="AC451" s="2"/>
      <c r="AD451" s="2"/>
      <c r="AE451" s="2"/>
      <c r="AF451" s="2"/>
    </row>
    <row r="452" spans="1:3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>
        <f ca="1">IFERROR(__xludf.DUMMYFUNCTION("""COMPUTED_VALUE"""),2023)</f>
        <v>2023</v>
      </c>
      <c r="Q452" s="2" t="str">
        <f ca="1">IFERROR(__xludf.DUMMYFUNCTION("""COMPUTED_VALUE"""),"0504")</f>
        <v>0504</v>
      </c>
      <c r="R452" s="2" t="str">
        <f ca="1">IFERROR(__xludf.DUMMYFUNCTION("""COMPUTED_VALUE"""),"05.001.0012.0365.0074.5008.33.90.39")</f>
        <v>05.001.0012.0365.0074.5008.33.90.39</v>
      </c>
      <c r="S452" s="2" t="str">
        <f ca="1">IFERROR(__xludf.DUMMYFUNCTION("""COMPUTED_VALUE"""),"00103")</f>
        <v>00103</v>
      </c>
      <c r="T452" s="2">
        <f ca="1">IFERROR(__xludf.DUMMYFUNCTION("""COMPUTED_VALUE"""),2024)</f>
        <v>2024</v>
      </c>
      <c r="U452" s="2" t="str">
        <f ca="1">IFERROR(__xludf.DUMMYFUNCTION("""COMPUTED_VALUE"""),"0594")</f>
        <v>0594</v>
      </c>
      <c r="V452" s="2" t="str">
        <f ca="1">IFERROR(__xludf.DUMMYFUNCTION("""COMPUTED_VALUE"""),"08.005.0008.0243.0118.6001.33.90.93")</f>
        <v>08.005.0008.0243.0118.6001.33.90.93</v>
      </c>
      <c r="W452" s="2" t="str">
        <f ca="1">IFERROR(__xludf.DUMMYFUNCTION("""COMPUTED_VALUE"""),"914")</f>
        <v>914</v>
      </c>
      <c r="X452" s="2"/>
      <c r="Y452" s="2"/>
      <c r="Z452" s="2"/>
      <c r="AA452" s="2"/>
      <c r="AB452" s="2"/>
      <c r="AC452" s="2"/>
      <c r="AD452" s="2"/>
      <c r="AE452" s="2"/>
      <c r="AF452" s="2"/>
    </row>
    <row r="453" spans="1:32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>
        <f ca="1">IFERROR(__xludf.DUMMYFUNCTION("""COMPUTED_VALUE"""),2023)</f>
        <v>2023</v>
      </c>
      <c r="Q453" s="2" t="str">
        <f ca="1">IFERROR(__xludf.DUMMYFUNCTION("""COMPUTED_VALUE"""),"0505")</f>
        <v>0505</v>
      </c>
      <c r="R453" s="2" t="str">
        <f ca="1">IFERROR(__xludf.DUMMYFUNCTION("""COMPUTED_VALUE"""),"05.001.0004.0122.0074.6011.33.90.39")</f>
        <v>05.001.0004.0122.0074.6011.33.90.39</v>
      </c>
      <c r="S453" s="2" t="str">
        <f ca="1">IFERROR(__xludf.DUMMYFUNCTION("""COMPUTED_VALUE"""),"0000")</f>
        <v>0000</v>
      </c>
      <c r="T453" s="2">
        <f ca="1">IFERROR(__xludf.DUMMYFUNCTION("""COMPUTED_VALUE"""),2024)</f>
        <v>2024</v>
      </c>
      <c r="U453" s="2" t="str">
        <f ca="1">IFERROR(__xludf.DUMMYFUNCTION("""COMPUTED_VALUE"""),"0584")</f>
        <v>0584</v>
      </c>
      <c r="V453" s="2" t="str">
        <f ca="1">IFERROR(__xludf.DUMMYFUNCTION("""COMPUTED_VALUE"""),"08.007.0008.0241.0118.1014.44.50.42")</f>
        <v>08.007.0008.0241.0118.1014.44.50.42</v>
      </c>
      <c r="W453" s="2" t="str">
        <f ca="1">IFERROR(__xludf.DUMMYFUNCTION("""COMPUTED_VALUE"""),"0")</f>
        <v>0</v>
      </c>
      <c r="X453" s="2"/>
      <c r="Y453" s="2"/>
      <c r="Z453" s="2"/>
      <c r="AA453" s="2"/>
      <c r="AB453" s="2"/>
      <c r="AC453" s="2"/>
      <c r="AD453" s="2"/>
      <c r="AE453" s="2"/>
      <c r="AF453" s="2"/>
    </row>
    <row r="454" spans="1:32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>
        <f ca="1">IFERROR(__xludf.DUMMYFUNCTION("""COMPUTED_VALUE"""),2023)</f>
        <v>2023</v>
      </c>
      <c r="Q454" s="2" t="str">
        <f ca="1">IFERROR(__xludf.DUMMYFUNCTION("""COMPUTED_VALUE"""),"0506")</f>
        <v>0506</v>
      </c>
      <c r="R454" s="2" t="str">
        <f ca="1">IFERROR(__xludf.DUMMYFUNCTION("""COMPUTED_VALUE"""),"05.001.0012.0361.0074.6012.33.90.39")</f>
        <v>05.001.0012.0361.0074.6012.33.90.39</v>
      </c>
      <c r="S454" s="2" t="str">
        <f ca="1">IFERROR(__xludf.DUMMYFUNCTION("""COMPUTED_VALUE"""),"00107")</f>
        <v>00107</v>
      </c>
      <c r="T454" s="2">
        <f ca="1">IFERROR(__xludf.DUMMYFUNCTION("""COMPUTED_VALUE"""),2024)</f>
        <v>2024</v>
      </c>
      <c r="U454" s="2" t="str">
        <f ca="1">IFERROR(__xludf.DUMMYFUNCTION("""COMPUTED_VALUE"""),"0597")</f>
        <v>0597</v>
      </c>
      <c r="V454" s="2" t="str">
        <f ca="1">IFERROR(__xludf.DUMMYFUNCTION("""COMPUTED_VALUE"""),"08.007.0008.0241.0118.1014.44.90.52")</f>
        <v>08.007.0008.0241.0118.1014.44.90.52</v>
      </c>
      <c r="W454" s="2" t="str">
        <f ca="1">IFERROR(__xludf.DUMMYFUNCTION("""COMPUTED_VALUE"""),"0")</f>
        <v>0</v>
      </c>
      <c r="X454" s="2"/>
      <c r="Y454" s="2"/>
      <c r="Z454" s="2"/>
      <c r="AA454" s="2"/>
      <c r="AB454" s="2"/>
      <c r="AC454" s="2"/>
      <c r="AD454" s="2"/>
      <c r="AE454" s="2"/>
      <c r="AF454" s="2"/>
    </row>
    <row r="455" spans="1:32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>
        <f ca="1">IFERROR(__xludf.DUMMYFUNCTION("""COMPUTED_VALUE"""),2023)</f>
        <v>2023</v>
      </c>
      <c r="Q455" s="2" t="str">
        <f ca="1">IFERROR(__xludf.DUMMYFUNCTION("""COMPUTED_VALUE"""),"0507")</f>
        <v>0507</v>
      </c>
      <c r="R455" s="2" t="str">
        <f ca="1">IFERROR(__xludf.DUMMYFUNCTION("""COMPUTED_VALUE"""),"05.001.0012.0365.0074.6015.33.90.39")</f>
        <v>05.001.0012.0365.0074.6015.33.90.39</v>
      </c>
      <c r="S455" s="2" t="str">
        <f ca="1">IFERROR(__xludf.DUMMYFUNCTION("""COMPUTED_VALUE"""),"00102")</f>
        <v>00102</v>
      </c>
      <c r="T455" s="2">
        <f ca="1">IFERROR(__xludf.DUMMYFUNCTION("""COMPUTED_VALUE"""),2024)</f>
        <v>2024</v>
      </c>
      <c r="U455" s="2" t="str">
        <f ca="1">IFERROR(__xludf.DUMMYFUNCTION("""COMPUTED_VALUE"""),"0598")</f>
        <v>0598</v>
      </c>
      <c r="V455" s="2" t="str">
        <f ca="1">IFERROR(__xludf.DUMMYFUNCTION("""COMPUTED_VALUE"""),"08.007.0008.0241.0118.2031.31.50.43")</f>
        <v>08.007.0008.0241.0118.2031.31.50.43</v>
      </c>
      <c r="W455" s="2" t="str">
        <f ca="1">IFERROR(__xludf.DUMMYFUNCTION("""COMPUTED_VALUE"""),"0")</f>
        <v>0</v>
      </c>
      <c r="X455" s="2"/>
      <c r="Y455" s="2"/>
      <c r="Z455" s="2"/>
      <c r="AA455" s="2"/>
      <c r="AB455" s="2"/>
      <c r="AC455" s="2"/>
      <c r="AD455" s="2"/>
      <c r="AE455" s="2"/>
      <c r="AF455" s="2"/>
    </row>
    <row r="456" spans="1:32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>
        <f ca="1">IFERROR(__xludf.DUMMYFUNCTION("""COMPUTED_VALUE"""),2023)</f>
        <v>2023</v>
      </c>
      <c r="Q456" s="2" t="str">
        <f ca="1">IFERROR(__xludf.DUMMYFUNCTION("""COMPUTED_VALUE"""),"0508")</f>
        <v>0508</v>
      </c>
      <c r="R456" s="2" t="str">
        <f ca="1">IFERROR(__xludf.DUMMYFUNCTION("""COMPUTED_VALUE"""),"05.001.0012.0365.0074.6015.33.90.39")</f>
        <v>05.001.0012.0365.0074.6015.33.90.39</v>
      </c>
      <c r="S456" s="2" t="str">
        <f ca="1">IFERROR(__xludf.DUMMYFUNCTION("""COMPUTED_VALUE"""),"00103")</f>
        <v>00103</v>
      </c>
      <c r="T456" s="2">
        <f ca="1">IFERROR(__xludf.DUMMYFUNCTION("""COMPUTED_VALUE"""),2024)</f>
        <v>2024</v>
      </c>
      <c r="U456" s="2" t="str">
        <f ca="1">IFERROR(__xludf.DUMMYFUNCTION("""COMPUTED_VALUE"""),"0599")</f>
        <v>0599</v>
      </c>
      <c r="V456" s="2" t="str">
        <f ca="1">IFERROR(__xludf.DUMMYFUNCTION("""COMPUTED_VALUE"""),"08.007.0008.0241.0118.2031.33.50.43")</f>
        <v>08.007.0008.0241.0118.2031.33.50.43</v>
      </c>
      <c r="W456" s="2" t="str">
        <f ca="1">IFERROR(__xludf.DUMMYFUNCTION("""COMPUTED_VALUE"""),"0")</f>
        <v>0</v>
      </c>
      <c r="X456" s="2"/>
      <c r="Y456" s="2"/>
      <c r="Z456" s="2"/>
      <c r="AA456" s="2"/>
      <c r="AB456" s="2"/>
      <c r="AC456" s="2"/>
      <c r="AD456" s="2"/>
      <c r="AE456" s="2"/>
      <c r="AF456" s="2"/>
    </row>
    <row r="457" spans="1:32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>
        <f ca="1">IFERROR(__xludf.DUMMYFUNCTION("""COMPUTED_VALUE"""),2023)</f>
        <v>2023</v>
      </c>
      <c r="Q457" s="2" t="str">
        <f ca="1">IFERROR(__xludf.DUMMYFUNCTION("""COMPUTED_VALUE"""),"0509")</f>
        <v>0509</v>
      </c>
      <c r="R457" s="2" t="str">
        <f ca="1">IFERROR(__xludf.DUMMYFUNCTION("""COMPUTED_VALUE"""),"05.001.0012.0361.0074.6018.33.90.39")</f>
        <v>05.001.0012.0361.0074.6018.33.90.39</v>
      </c>
      <c r="S457" s="2" t="str">
        <f ca="1">IFERROR(__xludf.DUMMYFUNCTION("""COMPUTED_VALUE"""),"0000")</f>
        <v>0000</v>
      </c>
      <c r="T457" s="2">
        <f ca="1">IFERROR(__xludf.DUMMYFUNCTION("""COMPUTED_VALUE"""),2024)</f>
        <v>2024</v>
      </c>
      <c r="U457" s="2" t="str">
        <f ca="1">IFERROR(__xludf.DUMMYFUNCTION("""COMPUTED_VALUE"""),"0600")</f>
        <v>0600</v>
      </c>
      <c r="V457" s="2" t="str">
        <f ca="1">IFERROR(__xludf.DUMMYFUNCTION("""COMPUTED_VALUE"""),"08.007.0008.0241.0118.2031.33.90.30")</f>
        <v>08.007.0008.0241.0118.2031.33.90.30</v>
      </c>
      <c r="W457" s="2" t="str">
        <f ca="1">IFERROR(__xludf.DUMMYFUNCTION("""COMPUTED_VALUE"""),"0")</f>
        <v>0</v>
      </c>
      <c r="X457" s="2"/>
      <c r="Y457" s="2"/>
      <c r="Z457" s="2"/>
      <c r="AA457" s="2"/>
      <c r="AB457" s="2"/>
      <c r="AC457" s="2"/>
      <c r="AD457" s="2"/>
      <c r="AE457" s="2"/>
      <c r="AF457" s="2"/>
    </row>
    <row r="458" spans="1:32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>
        <f ca="1">IFERROR(__xludf.DUMMYFUNCTION("""COMPUTED_VALUE"""),2023)</f>
        <v>2023</v>
      </c>
      <c r="Q458" s="2" t="str">
        <f ca="1">IFERROR(__xludf.DUMMYFUNCTION("""COMPUTED_VALUE"""),"0510")</f>
        <v>0510</v>
      </c>
      <c r="R458" s="2" t="str">
        <f ca="1">IFERROR(__xludf.DUMMYFUNCTION("""COMPUTED_VALUE"""),"05.001.0012.0361.0074.6018.33.90.39")</f>
        <v>05.001.0012.0361.0074.6018.33.90.39</v>
      </c>
      <c r="S458" s="2" t="str">
        <f ca="1">IFERROR(__xludf.DUMMYFUNCTION("""COMPUTED_VALUE"""),"00039")</f>
        <v>00039</v>
      </c>
      <c r="T458" s="2">
        <f ca="1">IFERROR(__xludf.DUMMYFUNCTION("""COMPUTED_VALUE"""),2024)</f>
        <v>2024</v>
      </c>
      <c r="U458" s="2" t="str">
        <f ca="1">IFERROR(__xludf.DUMMYFUNCTION("""COMPUTED_VALUE"""),"0601")</f>
        <v>0601</v>
      </c>
      <c r="V458" s="2" t="str">
        <f ca="1">IFERROR(__xludf.DUMMYFUNCTION("""COMPUTED_VALUE"""),"08.007.0008.0241.0118.2031.33.90.32")</f>
        <v>08.007.0008.0241.0118.2031.33.90.32</v>
      </c>
      <c r="W458" s="2" t="str">
        <f ca="1">IFERROR(__xludf.DUMMYFUNCTION("""COMPUTED_VALUE"""),"0")</f>
        <v>0</v>
      </c>
      <c r="X458" s="2"/>
      <c r="Y458" s="2"/>
      <c r="Z458" s="2"/>
      <c r="AA458" s="2"/>
      <c r="AB458" s="2"/>
      <c r="AC458" s="2"/>
      <c r="AD458" s="2"/>
      <c r="AE458" s="2"/>
      <c r="AF458" s="2"/>
    </row>
    <row r="459" spans="1:32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>
        <f ca="1">IFERROR(__xludf.DUMMYFUNCTION("""COMPUTED_VALUE"""),2023)</f>
        <v>2023</v>
      </c>
      <c r="Q459" s="2" t="str">
        <f ca="1">IFERROR(__xludf.DUMMYFUNCTION("""COMPUTED_VALUE"""),"0511")</f>
        <v>0511</v>
      </c>
      <c r="R459" s="2" t="str">
        <f ca="1">IFERROR(__xludf.DUMMYFUNCTION("""COMPUTED_VALUE"""),"05.001.0012.0361.0074.6018.33.90.39")</f>
        <v>05.001.0012.0361.0074.6018.33.90.39</v>
      </c>
      <c r="S459" s="2" t="str">
        <f ca="1">IFERROR(__xludf.DUMMYFUNCTION("""COMPUTED_VALUE"""),"00102")</f>
        <v>00102</v>
      </c>
      <c r="T459" s="2">
        <f ca="1">IFERROR(__xludf.DUMMYFUNCTION("""COMPUTED_VALUE"""),2024)</f>
        <v>2024</v>
      </c>
      <c r="U459" s="2" t="str">
        <f ca="1">IFERROR(__xludf.DUMMYFUNCTION("""COMPUTED_VALUE"""),"0602")</f>
        <v>0602</v>
      </c>
      <c r="V459" s="2" t="str">
        <f ca="1">IFERROR(__xludf.DUMMYFUNCTION("""COMPUTED_VALUE"""),"08.007.0008.0241.0118.2031.33.90.35")</f>
        <v>08.007.0008.0241.0118.2031.33.90.35</v>
      </c>
      <c r="W459" s="2" t="str">
        <f ca="1">IFERROR(__xludf.DUMMYFUNCTION("""COMPUTED_VALUE"""),"0")</f>
        <v>0</v>
      </c>
      <c r="X459" s="2"/>
      <c r="Y459" s="2"/>
      <c r="Z459" s="2"/>
      <c r="AA459" s="2"/>
      <c r="AB459" s="2"/>
      <c r="AC459" s="2"/>
      <c r="AD459" s="2"/>
      <c r="AE459" s="2"/>
      <c r="AF459" s="2"/>
    </row>
    <row r="460" spans="1:32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>
        <f ca="1">IFERROR(__xludf.DUMMYFUNCTION("""COMPUTED_VALUE"""),2023)</f>
        <v>2023</v>
      </c>
      <c r="Q460" s="2" t="str">
        <f ca="1">IFERROR(__xludf.DUMMYFUNCTION("""COMPUTED_VALUE"""),"0512")</f>
        <v>0512</v>
      </c>
      <c r="R460" s="2" t="str">
        <f ca="1">IFERROR(__xludf.DUMMYFUNCTION("""COMPUTED_VALUE"""),"05.001.0012.0361.0074.6018.33.90.39")</f>
        <v>05.001.0012.0361.0074.6018.33.90.39</v>
      </c>
      <c r="S460" s="2" t="str">
        <f ca="1">IFERROR(__xludf.DUMMYFUNCTION("""COMPUTED_VALUE"""),"00104")</f>
        <v>00104</v>
      </c>
      <c r="T460" s="2">
        <f ca="1">IFERROR(__xludf.DUMMYFUNCTION("""COMPUTED_VALUE"""),2024)</f>
        <v>2024</v>
      </c>
      <c r="U460" s="2" t="str">
        <f ca="1">IFERROR(__xludf.DUMMYFUNCTION("""COMPUTED_VALUE"""),"0603")</f>
        <v>0603</v>
      </c>
      <c r="V460" s="2" t="str">
        <f ca="1">IFERROR(__xludf.DUMMYFUNCTION("""COMPUTED_VALUE"""),"08.007.0008.0241.0118.2031.33.90.36")</f>
        <v>08.007.0008.0241.0118.2031.33.90.36</v>
      </c>
      <c r="W460" s="2" t="str">
        <f ca="1">IFERROR(__xludf.DUMMYFUNCTION("""COMPUTED_VALUE"""),"0")</f>
        <v>0</v>
      </c>
      <c r="X460" s="2"/>
      <c r="Y460" s="2"/>
      <c r="Z460" s="2"/>
      <c r="AA460" s="2"/>
      <c r="AB460" s="2"/>
      <c r="AC460" s="2"/>
      <c r="AD460" s="2"/>
      <c r="AE460" s="2"/>
      <c r="AF460" s="2"/>
    </row>
    <row r="461" spans="1:32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>
        <f ca="1">IFERROR(__xludf.DUMMYFUNCTION("""COMPUTED_VALUE"""),2023)</f>
        <v>2023</v>
      </c>
      <c r="Q461" s="2" t="str">
        <f ca="1">IFERROR(__xludf.DUMMYFUNCTION("""COMPUTED_VALUE"""),"0513")</f>
        <v>0513</v>
      </c>
      <c r="R461" s="2" t="str">
        <f ca="1">IFERROR(__xludf.DUMMYFUNCTION("""COMPUTED_VALUE"""),"11.002.0013.0392.0082.2009.33.90.39")</f>
        <v>11.002.0013.0392.0082.2009.33.90.39</v>
      </c>
      <c r="S461" s="2" t="str">
        <f ca="1">IFERROR(__xludf.DUMMYFUNCTION("""COMPUTED_VALUE"""),"0000")</f>
        <v>0000</v>
      </c>
      <c r="T461" s="2">
        <f ca="1">IFERROR(__xludf.DUMMYFUNCTION("""COMPUTED_VALUE"""),2024)</f>
        <v>2024</v>
      </c>
      <c r="U461" s="2" t="str">
        <f ca="1">IFERROR(__xludf.DUMMYFUNCTION("""COMPUTED_VALUE"""),"0604")</f>
        <v>0604</v>
      </c>
      <c r="V461" s="2" t="str">
        <f ca="1">IFERROR(__xludf.DUMMYFUNCTION("""COMPUTED_VALUE"""),"08.007.0008.0241.0118.2031.33.90.39")</f>
        <v>08.007.0008.0241.0118.2031.33.90.39</v>
      </c>
      <c r="W461" s="2" t="str">
        <f ca="1">IFERROR(__xludf.DUMMYFUNCTION("""COMPUTED_VALUE"""),"0")</f>
        <v>0</v>
      </c>
      <c r="X461" s="2"/>
      <c r="Y461" s="2"/>
      <c r="Z461" s="2"/>
      <c r="AA461" s="2"/>
      <c r="AB461" s="2"/>
      <c r="AC461" s="2"/>
      <c r="AD461" s="2"/>
      <c r="AE461" s="2"/>
      <c r="AF461" s="2"/>
    </row>
    <row r="462" spans="1:3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>
        <f ca="1">IFERROR(__xludf.DUMMYFUNCTION("""COMPUTED_VALUE"""),2023)</f>
        <v>2023</v>
      </c>
      <c r="Q462" s="2" t="str">
        <f ca="1">IFERROR(__xludf.DUMMYFUNCTION("""COMPUTED_VALUE"""),"0514")</f>
        <v>0514</v>
      </c>
      <c r="R462" s="2" t="str">
        <f ca="1">IFERROR(__xludf.DUMMYFUNCTION("""COMPUTED_VALUE"""),"11.002.0013.0392.0082.2010.33.90.39")</f>
        <v>11.002.0013.0392.0082.2010.33.90.39</v>
      </c>
      <c r="S462" s="2" t="str">
        <f ca="1">IFERROR(__xludf.DUMMYFUNCTION("""COMPUTED_VALUE"""),"0000")</f>
        <v>0000</v>
      </c>
      <c r="T462" s="2">
        <f ca="1">IFERROR(__xludf.DUMMYFUNCTION("""COMPUTED_VALUE"""),2024)</f>
        <v>2024</v>
      </c>
      <c r="U462" s="2" t="str">
        <f ca="1">IFERROR(__xludf.DUMMYFUNCTION("""COMPUTED_VALUE"""),"0605")</f>
        <v>0605</v>
      </c>
      <c r="V462" s="2" t="str">
        <f ca="1">IFERROR(__xludf.DUMMYFUNCTION("""COMPUTED_VALUE"""),"08.007.0008.0241.0118.2031.33.90.39")</f>
        <v>08.007.0008.0241.0118.2031.33.90.39</v>
      </c>
      <c r="W462" s="2" t="str">
        <f ca="1">IFERROR(__xludf.DUMMYFUNCTION("""COMPUTED_VALUE"""),"0")</f>
        <v>0</v>
      </c>
      <c r="X462" s="2"/>
      <c r="Y462" s="2"/>
      <c r="Z462" s="2"/>
      <c r="AA462" s="2"/>
      <c r="AB462" s="2"/>
      <c r="AC462" s="2"/>
      <c r="AD462" s="2"/>
      <c r="AE462" s="2"/>
      <c r="AF462" s="2"/>
    </row>
    <row r="463" spans="1:32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>
        <f ca="1">IFERROR(__xludf.DUMMYFUNCTION("""COMPUTED_VALUE"""),2023)</f>
        <v>2023</v>
      </c>
      <c r="Q463" s="2" t="str">
        <f ca="1">IFERROR(__xludf.DUMMYFUNCTION("""COMPUTED_VALUE"""),"0515")</f>
        <v>0515</v>
      </c>
      <c r="R463" s="2" t="str">
        <f ca="1">IFERROR(__xludf.DUMMYFUNCTION("""COMPUTED_VALUE"""),"11.002.0013.0391.0082.2011.33.90.39")</f>
        <v>11.002.0013.0391.0082.2011.33.90.39</v>
      </c>
      <c r="S463" s="2" t="str">
        <f ca="1">IFERROR(__xludf.DUMMYFUNCTION("""COMPUTED_VALUE"""),"0000")</f>
        <v>0000</v>
      </c>
      <c r="T463" s="2">
        <f ca="1">IFERROR(__xludf.DUMMYFUNCTION("""COMPUTED_VALUE"""),2024)</f>
        <v>2024</v>
      </c>
      <c r="U463" s="2" t="str">
        <f ca="1">IFERROR(__xludf.DUMMYFUNCTION("""COMPUTED_VALUE"""),"0608")</f>
        <v>0608</v>
      </c>
      <c r="V463" s="2" t="str">
        <f ca="1">IFERROR(__xludf.DUMMYFUNCTION("""COMPUTED_VALUE"""),"08.007.0008.0241.0118.2031.33.90.39")</f>
        <v>08.007.0008.0241.0118.2031.33.90.39</v>
      </c>
      <c r="W463" s="2" t="str">
        <f ca="1">IFERROR(__xludf.DUMMYFUNCTION("""COMPUTED_VALUE"""),"901")</f>
        <v>901</v>
      </c>
      <c r="X463" s="2"/>
      <c r="Y463" s="2"/>
      <c r="Z463" s="2"/>
      <c r="AA463" s="2"/>
      <c r="AB463" s="2"/>
      <c r="AC463" s="2"/>
      <c r="AD463" s="2"/>
      <c r="AE463" s="2"/>
      <c r="AF463" s="2"/>
    </row>
    <row r="464" spans="1:32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>
        <f ca="1">IFERROR(__xludf.DUMMYFUNCTION("""COMPUTED_VALUE"""),2023)</f>
        <v>2023</v>
      </c>
      <c r="Q464" s="2" t="str">
        <f ca="1">IFERROR(__xludf.DUMMYFUNCTION("""COMPUTED_VALUE"""),"0516")</f>
        <v>0516</v>
      </c>
      <c r="R464" s="2" t="str">
        <f ca="1">IFERROR(__xludf.DUMMYFUNCTION("""COMPUTED_VALUE"""),"11.007.0013.0392.0082.2017.33.90.39")</f>
        <v>11.007.0013.0392.0082.2017.33.90.39</v>
      </c>
      <c r="S464" s="2" t="str">
        <f ca="1">IFERROR(__xludf.DUMMYFUNCTION("""COMPUTED_VALUE"""),"00032")</f>
        <v>00032</v>
      </c>
      <c r="T464" s="2">
        <f ca="1">IFERROR(__xludf.DUMMYFUNCTION("""COMPUTED_VALUE"""),2024)</f>
        <v>2024</v>
      </c>
      <c r="U464" s="2" t="str">
        <f ca="1">IFERROR(__xludf.DUMMYFUNCTION("""COMPUTED_VALUE"""),"0610")</f>
        <v>0610</v>
      </c>
      <c r="V464" s="2" t="str">
        <f ca="1">IFERROR(__xludf.DUMMYFUNCTION("""COMPUTED_VALUE"""),"08.007.0008.0241.0118.2031.33.90.40")</f>
        <v>08.007.0008.0241.0118.2031.33.90.40</v>
      </c>
      <c r="W464" s="2" t="str">
        <f ca="1">IFERROR(__xludf.DUMMYFUNCTION("""COMPUTED_VALUE"""),"902")</f>
        <v>902</v>
      </c>
      <c r="X464" s="2"/>
      <c r="Y464" s="2"/>
      <c r="Z464" s="2"/>
      <c r="AA464" s="2"/>
      <c r="AB464" s="2"/>
      <c r="AC464" s="2"/>
      <c r="AD464" s="2"/>
      <c r="AE464" s="2"/>
      <c r="AF464" s="2"/>
    </row>
    <row r="465" spans="1:32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>
        <f ca="1">IFERROR(__xludf.DUMMYFUNCTION("""COMPUTED_VALUE"""),2023)</f>
        <v>2023</v>
      </c>
      <c r="Q465" s="2" t="str">
        <f ca="1">IFERROR(__xludf.DUMMYFUNCTION("""COMPUTED_VALUE"""),"0517")</f>
        <v>0517</v>
      </c>
      <c r="R465" s="2" t="str">
        <f ca="1">IFERROR(__xludf.DUMMYFUNCTION("""COMPUTED_VALUE"""),"11.002.0013.0243.0082.6003.33.90.39")</f>
        <v>11.002.0013.0243.0082.6003.33.90.39</v>
      </c>
      <c r="S465" s="2" t="str">
        <f ca="1">IFERROR(__xludf.DUMMYFUNCTION("""COMPUTED_VALUE"""),"0000")</f>
        <v>0000</v>
      </c>
      <c r="T465" s="2">
        <f ca="1">IFERROR(__xludf.DUMMYFUNCTION("""COMPUTED_VALUE"""),2024)</f>
        <v>2024</v>
      </c>
      <c r="U465" s="2" t="str">
        <f ca="1">IFERROR(__xludf.DUMMYFUNCTION("""COMPUTED_VALUE"""),"0606")</f>
        <v>0606</v>
      </c>
      <c r="V465" s="2" t="str">
        <f ca="1">IFERROR(__xludf.DUMMYFUNCTION("""COMPUTED_VALUE"""),"08.007.0008.0241.0118.2031.33.90.93")</f>
        <v>08.007.0008.0241.0118.2031.33.90.93</v>
      </c>
      <c r="W465" s="2" t="str">
        <f ca="1">IFERROR(__xludf.DUMMYFUNCTION("""COMPUTED_VALUE"""),"0")</f>
        <v>0</v>
      </c>
      <c r="X465" s="2"/>
      <c r="Y465" s="2"/>
      <c r="Z465" s="2"/>
      <c r="AA465" s="2"/>
      <c r="AB465" s="2"/>
      <c r="AC465" s="2"/>
      <c r="AD465" s="2"/>
      <c r="AE465" s="2"/>
      <c r="AF465" s="2"/>
    </row>
    <row r="466" spans="1:32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>
        <f ca="1">IFERROR(__xludf.DUMMYFUNCTION("""COMPUTED_VALUE"""),2023)</f>
        <v>2023</v>
      </c>
      <c r="Q466" s="2" t="str">
        <f ca="1">IFERROR(__xludf.DUMMYFUNCTION("""COMPUTED_VALUE"""),"0518")</f>
        <v>0518</v>
      </c>
      <c r="R466" s="2" t="str">
        <f ca="1">IFERROR(__xludf.DUMMYFUNCTION("""COMPUTED_VALUE"""),"11.003.0027.0811.0083.2013.33.90.39")</f>
        <v>11.003.0027.0811.0083.2013.33.90.39</v>
      </c>
      <c r="S466" s="2" t="str">
        <f ca="1">IFERROR(__xludf.DUMMYFUNCTION("""COMPUTED_VALUE"""),"0000")</f>
        <v>0000</v>
      </c>
      <c r="T466" s="2">
        <f ca="1">IFERROR(__xludf.DUMMYFUNCTION("""COMPUTED_VALUE"""),2024)</f>
        <v>2024</v>
      </c>
      <c r="U466" s="2" t="str">
        <f ca="1">IFERROR(__xludf.DUMMYFUNCTION("""COMPUTED_VALUE"""),"0607")</f>
        <v>0607</v>
      </c>
      <c r="V466" s="2" t="str">
        <f ca="1">IFERROR(__xludf.DUMMYFUNCTION("""COMPUTED_VALUE"""),"08.008.0008.0244.0118.1087.44.90.52")</f>
        <v>08.008.0008.0244.0118.1087.44.90.52</v>
      </c>
      <c r="W466" s="2" t="str">
        <f ca="1">IFERROR(__xludf.DUMMYFUNCTION("""COMPUTED_VALUE"""),"0")</f>
        <v>0</v>
      </c>
      <c r="X466" s="2"/>
      <c r="Y466" s="2"/>
      <c r="Z466" s="2"/>
      <c r="AA466" s="2"/>
      <c r="AB466" s="2"/>
      <c r="AC466" s="2"/>
      <c r="AD466" s="2"/>
      <c r="AE466" s="2"/>
      <c r="AF466" s="2"/>
    </row>
    <row r="467" spans="1:32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>
        <f ca="1">IFERROR(__xludf.DUMMYFUNCTION("""COMPUTED_VALUE"""),2023)</f>
        <v>2023</v>
      </c>
      <c r="Q467" s="2" t="str">
        <f ca="1">IFERROR(__xludf.DUMMYFUNCTION("""COMPUTED_VALUE"""),"0519")</f>
        <v>0519</v>
      </c>
      <c r="R467" s="2" t="str">
        <f ca="1">IFERROR(__xludf.DUMMYFUNCTION("""COMPUTED_VALUE"""),"11.003.0027.0812.0083.2015.33.90.39")</f>
        <v>11.003.0027.0812.0083.2015.33.90.39</v>
      </c>
      <c r="S467" s="2" t="str">
        <f ca="1">IFERROR(__xludf.DUMMYFUNCTION("""COMPUTED_VALUE"""),"0000")</f>
        <v>0000</v>
      </c>
      <c r="T467" s="2">
        <f ca="1">IFERROR(__xludf.DUMMYFUNCTION("""COMPUTED_VALUE"""),2024)</f>
        <v>2024</v>
      </c>
      <c r="U467" s="2" t="str">
        <f ca="1">IFERROR(__xludf.DUMMYFUNCTION("""COMPUTED_VALUE"""),"1204")</f>
        <v>1204</v>
      </c>
      <c r="V467" s="2" t="str">
        <f ca="1">IFERROR(__xludf.DUMMYFUNCTION("""COMPUTED_VALUE"""),"08.008.0008.0244.0118.2165.33.90.14")</f>
        <v>08.008.0008.0244.0118.2165.33.90.14</v>
      </c>
      <c r="W467" s="2" t="str">
        <f ca="1">IFERROR(__xludf.DUMMYFUNCTION("""COMPUTED_VALUE"""),"0")</f>
        <v>0</v>
      </c>
      <c r="X467" s="2"/>
      <c r="Y467" s="2"/>
      <c r="Z467" s="2"/>
      <c r="AA467" s="2"/>
      <c r="AB467" s="2"/>
      <c r="AC467" s="2"/>
      <c r="AD467" s="2"/>
      <c r="AE467" s="2"/>
      <c r="AF467" s="2"/>
    </row>
    <row r="468" spans="1:32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>
        <f ca="1">IFERROR(__xludf.DUMMYFUNCTION("""COMPUTED_VALUE"""),2023)</f>
        <v>2023</v>
      </c>
      <c r="Q468" s="2" t="str">
        <f ca="1">IFERROR(__xludf.DUMMYFUNCTION("""COMPUTED_VALUE"""),"0520")</f>
        <v>0520</v>
      </c>
      <c r="R468" s="2" t="str">
        <f ca="1">IFERROR(__xludf.DUMMYFUNCTION("""COMPUTED_VALUE"""),"11.003.0027.0812.0083.2016.33.90.39")</f>
        <v>11.003.0027.0812.0083.2016.33.90.39</v>
      </c>
      <c r="S468" s="2" t="str">
        <f ca="1">IFERROR(__xludf.DUMMYFUNCTION("""COMPUTED_VALUE"""),"00038")</f>
        <v>00038</v>
      </c>
      <c r="T468" s="2">
        <f ca="1">IFERROR(__xludf.DUMMYFUNCTION("""COMPUTED_VALUE"""),2024)</f>
        <v>2024</v>
      </c>
      <c r="U468" s="2" t="str">
        <f ca="1">IFERROR(__xludf.DUMMYFUNCTION("""COMPUTED_VALUE"""),"1205")</f>
        <v>1205</v>
      </c>
      <c r="V468" s="2" t="str">
        <f ca="1">IFERROR(__xludf.DUMMYFUNCTION("""COMPUTED_VALUE"""),"08.008.0008.0244.0118.2165.33.90.30")</f>
        <v>08.008.0008.0244.0118.2165.33.90.30</v>
      </c>
      <c r="W468" s="2" t="str">
        <f ca="1">IFERROR(__xludf.DUMMYFUNCTION("""COMPUTED_VALUE"""),"0")</f>
        <v>0</v>
      </c>
      <c r="X468" s="2"/>
      <c r="Y468" s="2"/>
      <c r="Z468" s="2"/>
      <c r="AA468" s="2"/>
      <c r="AB468" s="2"/>
      <c r="AC468" s="2"/>
      <c r="AD468" s="2"/>
      <c r="AE468" s="2"/>
      <c r="AF468" s="2"/>
    </row>
    <row r="469" spans="1:32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>
        <f ca="1">IFERROR(__xludf.DUMMYFUNCTION("""COMPUTED_VALUE"""),2023)</f>
        <v>2023</v>
      </c>
      <c r="Q469" s="2" t="str">
        <f ca="1">IFERROR(__xludf.DUMMYFUNCTION("""COMPUTED_VALUE"""),"0521")</f>
        <v>0521</v>
      </c>
      <c r="R469" s="2" t="str">
        <f ca="1">IFERROR(__xludf.DUMMYFUNCTION("""COMPUTED_VALUE"""),"11.003.0027.0243.0083.6004.33.90.39")</f>
        <v>11.003.0027.0243.0083.6004.33.90.39</v>
      </c>
      <c r="S469" s="2" t="str">
        <f ca="1">IFERROR(__xludf.DUMMYFUNCTION("""COMPUTED_VALUE"""),"0000")</f>
        <v>0000</v>
      </c>
      <c r="T469" s="2">
        <f ca="1">IFERROR(__xludf.DUMMYFUNCTION("""COMPUTED_VALUE"""),2024)</f>
        <v>2024</v>
      </c>
      <c r="U469" s="2" t="str">
        <f ca="1">IFERROR(__xludf.DUMMYFUNCTION("""COMPUTED_VALUE"""),"1210")</f>
        <v>1210</v>
      </c>
      <c r="V469" s="2" t="str">
        <f ca="1">IFERROR(__xludf.DUMMYFUNCTION("""COMPUTED_VALUE"""),"08.008.0008.0244.0118.2165.33.90.32")</f>
        <v>08.008.0008.0244.0118.2165.33.90.32</v>
      </c>
      <c r="W469" s="2" t="str">
        <f ca="1">IFERROR(__xludf.DUMMYFUNCTION("""COMPUTED_VALUE"""),"0")</f>
        <v>0</v>
      </c>
      <c r="X469" s="2"/>
      <c r="Y469" s="2"/>
      <c r="Z469" s="2"/>
      <c r="AA469" s="2"/>
      <c r="AB469" s="2"/>
      <c r="AC469" s="2"/>
      <c r="AD469" s="2"/>
      <c r="AE469" s="2"/>
      <c r="AF469" s="2"/>
    </row>
    <row r="470" spans="1:32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>
        <f ca="1">IFERROR(__xludf.DUMMYFUNCTION("""COMPUTED_VALUE"""),2023)</f>
        <v>2023</v>
      </c>
      <c r="Q470" s="2" t="str">
        <f ca="1">IFERROR(__xludf.DUMMYFUNCTION("""COMPUTED_VALUE"""),"0522")</f>
        <v>0522</v>
      </c>
      <c r="R470" s="2" t="str">
        <f ca="1">IFERROR(__xludf.DUMMYFUNCTION("""COMPUTED_VALUE"""),"06.001.0010.0301.0094.2037.33.90.39")</f>
        <v>06.001.0010.0301.0094.2037.33.90.39</v>
      </c>
      <c r="S470" s="2" t="str">
        <f ca="1">IFERROR(__xludf.DUMMYFUNCTION("""COMPUTED_VALUE"""),"00303")</f>
        <v>00303</v>
      </c>
      <c r="T470" s="2">
        <f ca="1">IFERROR(__xludf.DUMMYFUNCTION("""COMPUTED_VALUE"""),2024)</f>
        <v>2024</v>
      </c>
      <c r="U470" s="2" t="str">
        <f ca="1">IFERROR(__xludf.DUMMYFUNCTION("""COMPUTED_VALUE"""),"1209")</f>
        <v>1209</v>
      </c>
      <c r="V470" s="2" t="str">
        <f ca="1">IFERROR(__xludf.DUMMYFUNCTION("""COMPUTED_VALUE"""),"08.008.0008.0244.0118.2165.33.90.33")</f>
        <v>08.008.0008.0244.0118.2165.33.90.33</v>
      </c>
      <c r="W470" s="2" t="str">
        <f ca="1">IFERROR(__xludf.DUMMYFUNCTION("""COMPUTED_VALUE"""),"0")</f>
        <v>0</v>
      </c>
      <c r="X470" s="2"/>
      <c r="Y470" s="2"/>
      <c r="Z470" s="2"/>
      <c r="AA470" s="2"/>
      <c r="AB470" s="2"/>
      <c r="AC470" s="2"/>
      <c r="AD470" s="2"/>
      <c r="AE470" s="2"/>
      <c r="AF470" s="2"/>
    </row>
    <row r="471" spans="1:32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>
        <f ca="1">IFERROR(__xludf.DUMMYFUNCTION("""COMPUTED_VALUE"""),2023)</f>
        <v>2023</v>
      </c>
      <c r="Q471" s="2" t="str">
        <f ca="1">IFERROR(__xludf.DUMMYFUNCTION("""COMPUTED_VALUE"""),"0523")</f>
        <v>0523</v>
      </c>
      <c r="R471" s="2" t="str">
        <f ca="1">IFERROR(__xludf.DUMMYFUNCTION("""COMPUTED_VALUE"""),"06.001.0010.0301.0094.2038.33.90.39")</f>
        <v>06.001.0010.0301.0094.2038.33.90.39</v>
      </c>
      <c r="S471" s="2" t="str">
        <f ca="1">IFERROR(__xludf.DUMMYFUNCTION("""COMPUTED_VALUE"""),"00303")</f>
        <v>00303</v>
      </c>
      <c r="T471" s="2">
        <f ca="1">IFERROR(__xludf.DUMMYFUNCTION("""COMPUTED_VALUE"""),2024)</f>
        <v>2024</v>
      </c>
      <c r="U471" s="2" t="str">
        <f ca="1">IFERROR(__xludf.DUMMYFUNCTION("""COMPUTED_VALUE"""),"1206")</f>
        <v>1206</v>
      </c>
      <c r="V471" s="2" t="str">
        <f ca="1">IFERROR(__xludf.DUMMYFUNCTION("""COMPUTED_VALUE"""),"08.008.0008.0244.0118.2165.33.90.39")</f>
        <v>08.008.0008.0244.0118.2165.33.90.39</v>
      </c>
      <c r="W471" s="2" t="str">
        <f ca="1">IFERROR(__xludf.DUMMYFUNCTION("""COMPUTED_VALUE"""),"0")</f>
        <v>0</v>
      </c>
      <c r="X471" s="2"/>
      <c r="Y471" s="2"/>
      <c r="Z471" s="2"/>
      <c r="AA471" s="2"/>
      <c r="AB471" s="2"/>
      <c r="AC471" s="2"/>
      <c r="AD471" s="2"/>
      <c r="AE471" s="2"/>
      <c r="AF471" s="2"/>
    </row>
    <row r="472" spans="1:3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>
        <f ca="1">IFERROR(__xludf.DUMMYFUNCTION("""COMPUTED_VALUE"""),2023)</f>
        <v>2023</v>
      </c>
      <c r="Q472" s="2" t="str">
        <f ca="1">IFERROR(__xludf.DUMMYFUNCTION("""COMPUTED_VALUE"""),"0525")</f>
        <v>0525</v>
      </c>
      <c r="R472" s="2" t="str">
        <f ca="1">IFERROR(__xludf.DUMMYFUNCTION("""COMPUTED_VALUE"""),"06.001.0010.0301.0094.2039.33.90.39")</f>
        <v>06.001.0010.0301.0094.2039.33.90.39</v>
      </c>
      <c r="S472" s="2" t="str">
        <f ca="1">IFERROR(__xludf.DUMMYFUNCTION("""COMPUTED_VALUE"""),"00303")</f>
        <v>00303</v>
      </c>
      <c r="T472" s="2">
        <f ca="1">IFERROR(__xludf.DUMMYFUNCTION("""COMPUTED_VALUE"""),2024)</f>
        <v>2024</v>
      </c>
      <c r="U472" s="2" t="str">
        <f ca="1">IFERROR(__xludf.DUMMYFUNCTION("""COMPUTED_VALUE"""),"1208")</f>
        <v>1208</v>
      </c>
      <c r="V472" s="2" t="str">
        <f ca="1">IFERROR(__xludf.DUMMYFUNCTION("""COMPUTED_VALUE"""),"08.008.0008.0244.0118.2165.33.90.93")</f>
        <v>08.008.0008.0244.0118.2165.33.90.93</v>
      </c>
      <c r="W472" s="2" t="str">
        <f ca="1">IFERROR(__xludf.DUMMYFUNCTION("""COMPUTED_VALUE"""),"0")</f>
        <v>0</v>
      </c>
      <c r="X472" s="2"/>
      <c r="Y472" s="2"/>
      <c r="Z472" s="2"/>
      <c r="AA472" s="2"/>
      <c r="AB472" s="2"/>
      <c r="AC472" s="2"/>
      <c r="AD472" s="2"/>
      <c r="AE472" s="2"/>
      <c r="AF472" s="2"/>
    </row>
    <row r="473" spans="1:32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>
        <f ca="1">IFERROR(__xludf.DUMMYFUNCTION("""COMPUTED_VALUE"""),2023)</f>
        <v>2023</v>
      </c>
      <c r="Q473" s="2" t="str">
        <f ca="1">IFERROR(__xludf.DUMMYFUNCTION("""COMPUTED_VALUE"""),"0527")</f>
        <v>0527</v>
      </c>
      <c r="R473" s="2" t="str">
        <f ca="1">IFERROR(__xludf.DUMMYFUNCTION("""COMPUTED_VALUE"""),"06.001.0010.0301.0094.2039.33.90.39")</f>
        <v>06.001.0010.0301.0094.2039.33.90.39</v>
      </c>
      <c r="S473" s="2" t="str">
        <f ca="1">IFERROR(__xludf.DUMMYFUNCTION("""COMPUTED_VALUE"""),"04942")</f>
        <v>04942</v>
      </c>
      <c r="T473" s="2">
        <f ca="1">IFERROR(__xludf.DUMMYFUNCTION("""COMPUTED_VALUE"""),2024)</f>
        <v>2024</v>
      </c>
      <c r="U473" s="2" t="str">
        <f ca="1">IFERROR(__xludf.DUMMYFUNCTION("""COMPUTED_VALUE"""),"1207")</f>
        <v>1207</v>
      </c>
      <c r="V473" s="2" t="str">
        <f ca="1">IFERROR(__xludf.DUMMYFUNCTION("""COMPUTED_VALUE"""),"10.001.0004.0122.0123.1039.44.90.30")</f>
        <v>10.001.0004.0122.0123.1039.44.90.30</v>
      </c>
      <c r="W473" s="2" t="str">
        <f ca="1">IFERROR(__xludf.DUMMYFUNCTION("""COMPUTED_VALUE"""),"0")</f>
        <v>0</v>
      </c>
      <c r="X473" s="2"/>
      <c r="Y473" s="2"/>
      <c r="Z473" s="2"/>
      <c r="AA473" s="2"/>
      <c r="AB473" s="2"/>
      <c r="AC473" s="2"/>
      <c r="AD473" s="2"/>
      <c r="AE473" s="2"/>
      <c r="AF473" s="2"/>
    </row>
    <row r="474" spans="1:32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>
        <f ca="1">IFERROR(__xludf.DUMMYFUNCTION("""COMPUTED_VALUE"""),2023)</f>
        <v>2023</v>
      </c>
      <c r="Q474" s="2" t="str">
        <f ca="1">IFERROR(__xludf.DUMMYFUNCTION("""COMPUTED_VALUE"""),"0528")</f>
        <v>0528</v>
      </c>
      <c r="R474" s="2" t="str">
        <f ca="1">IFERROR(__xludf.DUMMYFUNCTION("""COMPUTED_VALUE"""),"06.001.0010.0305.0094.2040.33.90.39")</f>
        <v>06.001.0010.0305.0094.2040.33.90.39</v>
      </c>
      <c r="S474" s="2" t="str">
        <f ca="1">IFERROR(__xludf.DUMMYFUNCTION("""COMPUTED_VALUE"""),"00303")</f>
        <v>00303</v>
      </c>
      <c r="T474" s="2">
        <f ca="1">IFERROR(__xludf.DUMMYFUNCTION("""COMPUTED_VALUE"""),2024)</f>
        <v>2024</v>
      </c>
      <c r="U474" s="2" t="str">
        <f ca="1">IFERROR(__xludf.DUMMYFUNCTION("""COMPUTED_VALUE"""),"0637")</f>
        <v>0637</v>
      </c>
      <c r="V474" s="2" t="str">
        <f ca="1">IFERROR(__xludf.DUMMYFUNCTION("""COMPUTED_VALUE"""),"10.001.0004.0122.0123.1039.44.90.52")</f>
        <v>10.001.0004.0122.0123.1039.44.90.52</v>
      </c>
      <c r="W474" s="2" t="str">
        <f ca="1">IFERROR(__xludf.DUMMYFUNCTION("""COMPUTED_VALUE"""),"0")</f>
        <v>0</v>
      </c>
      <c r="X474" s="2"/>
      <c r="Y474" s="2"/>
      <c r="Z474" s="2"/>
      <c r="AA474" s="2"/>
      <c r="AB474" s="2"/>
      <c r="AC474" s="2"/>
      <c r="AD474" s="2"/>
      <c r="AE474" s="2"/>
      <c r="AF474" s="2"/>
    </row>
    <row r="475" spans="1:32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>
        <f ca="1">IFERROR(__xludf.DUMMYFUNCTION("""COMPUTED_VALUE"""),2023)</f>
        <v>2023</v>
      </c>
      <c r="Q475" s="2" t="str">
        <f ca="1">IFERROR(__xludf.DUMMYFUNCTION("""COMPUTED_VALUE"""),"0529")</f>
        <v>0529</v>
      </c>
      <c r="R475" s="2" t="str">
        <f ca="1">IFERROR(__xludf.DUMMYFUNCTION("""COMPUTED_VALUE"""),"06.001.0010.0305.0094.2040.33.90.39")</f>
        <v>06.001.0010.0305.0094.2040.33.90.39</v>
      </c>
      <c r="S475" s="2" t="str">
        <f ca="1">IFERROR(__xludf.DUMMYFUNCTION("""COMPUTED_VALUE"""),"00497")</f>
        <v>00497</v>
      </c>
      <c r="T475" s="2">
        <f ca="1">IFERROR(__xludf.DUMMYFUNCTION("""COMPUTED_VALUE"""),2024)</f>
        <v>2024</v>
      </c>
      <c r="U475" s="2" t="str">
        <f ca="1">IFERROR(__xludf.DUMMYFUNCTION("""COMPUTED_VALUE"""),"0638")</f>
        <v>0638</v>
      </c>
      <c r="V475" s="2" t="str">
        <f ca="1">IFERROR(__xludf.DUMMYFUNCTION("""COMPUTED_VALUE"""),"10.001.0004.0122.0123.1079.44.90.51")</f>
        <v>10.001.0004.0122.0123.1079.44.90.51</v>
      </c>
      <c r="W475" s="2" t="str">
        <f ca="1">IFERROR(__xludf.DUMMYFUNCTION("""COMPUTED_VALUE"""),"0")</f>
        <v>0</v>
      </c>
      <c r="X475" s="2"/>
      <c r="Y475" s="2"/>
      <c r="Z475" s="2"/>
      <c r="AA475" s="2"/>
      <c r="AB475" s="2"/>
      <c r="AC475" s="2"/>
      <c r="AD475" s="2"/>
      <c r="AE475" s="2"/>
      <c r="AF475" s="2"/>
    </row>
    <row r="476" spans="1:32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>
        <f ca="1">IFERROR(__xludf.DUMMYFUNCTION("""COMPUTED_VALUE"""),2023)</f>
        <v>2023</v>
      </c>
      <c r="Q476" s="2" t="str">
        <f ca="1">IFERROR(__xludf.DUMMYFUNCTION("""COMPUTED_VALUE"""),"0530")</f>
        <v>0530</v>
      </c>
      <c r="R476" s="2" t="str">
        <f ca="1">IFERROR(__xludf.DUMMYFUNCTION("""COMPUTED_VALUE"""),"06.001.0010.0305.0094.2040.33.90.39")</f>
        <v>06.001.0010.0305.0094.2040.33.90.39</v>
      </c>
      <c r="S476" s="2" t="str">
        <f ca="1">IFERROR(__xludf.DUMMYFUNCTION("""COMPUTED_VALUE"""),"04942")</f>
        <v>04942</v>
      </c>
      <c r="T476" s="2">
        <f ca="1">IFERROR(__xludf.DUMMYFUNCTION("""COMPUTED_VALUE"""),2024)</f>
        <v>2024</v>
      </c>
      <c r="U476" s="2" t="str">
        <f ca="1">IFERROR(__xludf.DUMMYFUNCTION("""COMPUTED_VALUE"""),"0639")</f>
        <v>0639</v>
      </c>
      <c r="V476" s="2" t="str">
        <f ca="1">IFERROR(__xludf.DUMMYFUNCTION("""COMPUTED_VALUE"""),"10.001.0004.0122.0123.2109.33.90.14")</f>
        <v>10.001.0004.0122.0123.2109.33.90.14</v>
      </c>
      <c r="W476" s="2" t="str">
        <f ca="1">IFERROR(__xludf.DUMMYFUNCTION("""COMPUTED_VALUE"""),"0")</f>
        <v>0</v>
      </c>
      <c r="X476" s="2"/>
      <c r="Y476" s="2"/>
      <c r="Z476" s="2"/>
      <c r="AA476" s="2"/>
      <c r="AB476" s="2"/>
      <c r="AC476" s="2"/>
      <c r="AD476" s="2"/>
      <c r="AE476" s="2"/>
      <c r="AF476" s="2"/>
    </row>
    <row r="477" spans="1:32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>
        <f ca="1">IFERROR(__xludf.DUMMYFUNCTION("""COMPUTED_VALUE"""),2023)</f>
        <v>2023</v>
      </c>
      <c r="Q477" s="2" t="str">
        <f ca="1">IFERROR(__xludf.DUMMYFUNCTION("""COMPUTED_VALUE"""),"0531")</f>
        <v>0531</v>
      </c>
      <c r="R477" s="2" t="str">
        <f ca="1">IFERROR(__xludf.DUMMYFUNCTION("""COMPUTED_VALUE"""),"06.001.0010.0302.0094.2041.33.90.39")</f>
        <v>06.001.0010.0302.0094.2041.33.90.39</v>
      </c>
      <c r="S477" s="2" t="str">
        <f ca="1">IFERROR(__xludf.DUMMYFUNCTION("""COMPUTED_VALUE"""),"00303")</f>
        <v>00303</v>
      </c>
      <c r="T477" s="2">
        <f ca="1">IFERROR(__xludf.DUMMYFUNCTION("""COMPUTED_VALUE"""),2024)</f>
        <v>2024</v>
      </c>
      <c r="U477" s="2" t="str">
        <f ca="1">IFERROR(__xludf.DUMMYFUNCTION("""COMPUTED_VALUE"""),"0640")</f>
        <v>0640</v>
      </c>
      <c r="V477" s="2" t="str">
        <f ca="1">IFERROR(__xludf.DUMMYFUNCTION("""COMPUTED_VALUE"""),"10.001.0004.0122.0123.2109.33.90.30")</f>
        <v>10.001.0004.0122.0123.2109.33.90.30</v>
      </c>
      <c r="W477" s="2" t="str">
        <f ca="1">IFERROR(__xludf.DUMMYFUNCTION("""COMPUTED_VALUE"""),"0")</f>
        <v>0</v>
      </c>
      <c r="X477" s="2"/>
      <c r="Y477" s="2"/>
      <c r="Z477" s="2"/>
      <c r="AA477" s="2"/>
      <c r="AB477" s="2"/>
      <c r="AC477" s="2"/>
      <c r="AD477" s="2"/>
      <c r="AE477" s="2"/>
      <c r="AF477" s="2"/>
    </row>
    <row r="478" spans="1:32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>
        <f ca="1">IFERROR(__xludf.DUMMYFUNCTION("""COMPUTED_VALUE"""),2023)</f>
        <v>2023</v>
      </c>
      <c r="Q478" s="2" t="str">
        <f ca="1">IFERROR(__xludf.DUMMYFUNCTION("""COMPUTED_VALUE"""),"0533")</f>
        <v>0533</v>
      </c>
      <c r="R478" s="2" t="str">
        <f ca="1">IFERROR(__xludf.DUMMYFUNCTION("""COMPUTED_VALUE"""),"06.001.0010.0302.0094.2042.33.90.39")</f>
        <v>06.001.0010.0302.0094.2042.33.90.39</v>
      </c>
      <c r="S478" s="2" t="str">
        <f ca="1">IFERROR(__xludf.DUMMYFUNCTION("""COMPUTED_VALUE"""),"00303")</f>
        <v>00303</v>
      </c>
      <c r="T478" s="2">
        <f ca="1">IFERROR(__xludf.DUMMYFUNCTION("""COMPUTED_VALUE"""),2024)</f>
        <v>2024</v>
      </c>
      <c r="U478" s="2" t="str">
        <f ca="1">IFERROR(__xludf.DUMMYFUNCTION("""COMPUTED_VALUE"""),"0641")</f>
        <v>0641</v>
      </c>
      <c r="V478" s="2" t="str">
        <f ca="1">IFERROR(__xludf.DUMMYFUNCTION("""COMPUTED_VALUE"""),"10.001.0004.0122.0123.2109.33.90.33")</f>
        <v>10.001.0004.0122.0123.2109.33.90.33</v>
      </c>
      <c r="W478" s="2" t="str">
        <f ca="1">IFERROR(__xludf.DUMMYFUNCTION("""COMPUTED_VALUE"""),"0")</f>
        <v>0</v>
      </c>
      <c r="X478" s="2"/>
      <c r="Y478" s="2"/>
      <c r="Z478" s="2"/>
      <c r="AA478" s="2"/>
      <c r="AB478" s="2"/>
      <c r="AC478" s="2"/>
      <c r="AD478" s="2"/>
      <c r="AE478" s="2"/>
      <c r="AF478" s="2"/>
    </row>
    <row r="479" spans="1:32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>
        <f ca="1">IFERROR(__xludf.DUMMYFUNCTION("""COMPUTED_VALUE"""),2023)</f>
        <v>2023</v>
      </c>
      <c r="Q479" s="2" t="str">
        <f ca="1">IFERROR(__xludf.DUMMYFUNCTION("""COMPUTED_VALUE"""),"0535")</f>
        <v>0535</v>
      </c>
      <c r="R479" s="2" t="str">
        <f ca="1">IFERROR(__xludf.DUMMYFUNCTION("""COMPUTED_VALUE"""),"06.001.0010.0302.0094.2043.33.90.39")</f>
        <v>06.001.0010.0302.0094.2043.33.90.39</v>
      </c>
      <c r="S479" s="2" t="str">
        <f ca="1">IFERROR(__xludf.DUMMYFUNCTION("""COMPUTED_VALUE"""),"04942")</f>
        <v>04942</v>
      </c>
      <c r="T479" s="2">
        <f ca="1">IFERROR(__xludf.DUMMYFUNCTION("""COMPUTED_VALUE"""),2024)</f>
        <v>2024</v>
      </c>
      <c r="U479" s="2" t="str">
        <f ca="1">IFERROR(__xludf.DUMMYFUNCTION("""COMPUTED_VALUE"""),"0642")</f>
        <v>0642</v>
      </c>
      <c r="V479" s="2" t="str">
        <f ca="1">IFERROR(__xludf.DUMMYFUNCTION("""COMPUTED_VALUE"""),"10.001.0004.0122.0123.2109.33.90.39")</f>
        <v>10.001.0004.0122.0123.2109.33.90.39</v>
      </c>
      <c r="W479" s="2" t="str">
        <f ca="1">IFERROR(__xludf.DUMMYFUNCTION("""COMPUTED_VALUE"""),"0")</f>
        <v>0</v>
      </c>
      <c r="X479" s="2"/>
      <c r="Y479" s="2"/>
      <c r="Z479" s="2"/>
      <c r="AA479" s="2"/>
      <c r="AB479" s="2"/>
      <c r="AC479" s="2"/>
      <c r="AD479" s="2"/>
      <c r="AE479" s="2"/>
      <c r="AF479" s="2"/>
    </row>
    <row r="480" spans="1:32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>
        <f ca="1">IFERROR(__xludf.DUMMYFUNCTION("""COMPUTED_VALUE"""),2023)</f>
        <v>2023</v>
      </c>
      <c r="Q480" s="2" t="str">
        <f ca="1">IFERROR(__xludf.DUMMYFUNCTION("""COMPUTED_VALUE"""),"0536")</f>
        <v>0536</v>
      </c>
      <c r="R480" s="2" t="str">
        <f ca="1">IFERROR(__xludf.DUMMYFUNCTION("""COMPUTED_VALUE"""),"06.001.0010.0302.0094.2044.33.90.39")</f>
        <v>06.001.0010.0302.0094.2044.33.90.39</v>
      </c>
      <c r="S480" s="2" t="str">
        <f ca="1">IFERROR(__xludf.DUMMYFUNCTION("""COMPUTED_VALUE"""),"00303")</f>
        <v>00303</v>
      </c>
      <c r="T480" s="2">
        <f ca="1">IFERROR(__xludf.DUMMYFUNCTION("""COMPUTED_VALUE"""),2024)</f>
        <v>2024</v>
      </c>
      <c r="U480" s="2" t="str">
        <f ca="1">IFERROR(__xludf.DUMMYFUNCTION("""COMPUTED_VALUE"""),"0644")</f>
        <v>0644</v>
      </c>
      <c r="V480" s="2" t="str">
        <f ca="1">IFERROR(__xludf.DUMMYFUNCTION("""COMPUTED_VALUE"""),"10.002.0018.0541.0123.2110.33.90.30")</f>
        <v>10.002.0018.0541.0123.2110.33.90.30</v>
      </c>
      <c r="W480" s="2" t="str">
        <f ca="1">IFERROR(__xludf.DUMMYFUNCTION("""COMPUTED_VALUE"""),"0")</f>
        <v>0</v>
      </c>
      <c r="X480" s="2"/>
      <c r="Y480" s="2"/>
      <c r="Z480" s="2"/>
      <c r="AA480" s="2"/>
      <c r="AB480" s="2"/>
      <c r="AC480" s="2"/>
      <c r="AD480" s="2"/>
      <c r="AE480" s="2"/>
      <c r="AF480" s="2"/>
    </row>
    <row r="481" spans="1:32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>
        <f ca="1">IFERROR(__xludf.DUMMYFUNCTION("""COMPUTED_VALUE"""),2023)</f>
        <v>2023</v>
      </c>
      <c r="Q481" s="2" t="str">
        <f ca="1">IFERROR(__xludf.DUMMYFUNCTION("""COMPUTED_VALUE"""),"0537")</f>
        <v>0537</v>
      </c>
      <c r="R481" s="2" t="str">
        <f ca="1">IFERROR(__xludf.DUMMYFUNCTION("""COMPUTED_VALUE"""),"06.001.0010.0302.0094.2045.33.90.39")</f>
        <v>06.001.0010.0302.0094.2045.33.90.39</v>
      </c>
      <c r="S481" s="2" t="str">
        <f ca="1">IFERROR(__xludf.DUMMYFUNCTION("""COMPUTED_VALUE"""),"00303")</f>
        <v>00303</v>
      </c>
      <c r="T481" s="2">
        <f ca="1">IFERROR(__xludf.DUMMYFUNCTION("""COMPUTED_VALUE"""),2024)</f>
        <v>2024</v>
      </c>
      <c r="U481" s="2" t="str">
        <f ca="1">IFERROR(__xludf.DUMMYFUNCTION("""COMPUTED_VALUE"""),"0647")</f>
        <v>0647</v>
      </c>
      <c r="V481" s="2" t="str">
        <f ca="1">IFERROR(__xludf.DUMMYFUNCTION("""COMPUTED_VALUE"""),"10.002.0018.0541.0123.2110.33.90.39")</f>
        <v>10.002.0018.0541.0123.2110.33.90.39</v>
      </c>
      <c r="W481" s="2" t="str">
        <f ca="1">IFERROR(__xludf.DUMMYFUNCTION("""COMPUTED_VALUE"""),"0")</f>
        <v>0</v>
      </c>
      <c r="X481" s="2"/>
      <c r="Y481" s="2"/>
      <c r="Z481" s="2"/>
      <c r="AA481" s="2"/>
      <c r="AB481" s="2"/>
      <c r="AC481" s="2"/>
      <c r="AD481" s="2"/>
      <c r="AE481" s="2"/>
      <c r="AF481" s="2"/>
    </row>
    <row r="482" spans="1:3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>
        <f ca="1">IFERROR(__xludf.DUMMYFUNCTION("""COMPUTED_VALUE"""),2023)</f>
        <v>2023</v>
      </c>
      <c r="Q482" s="2" t="str">
        <f ca="1">IFERROR(__xludf.DUMMYFUNCTION("""COMPUTED_VALUE"""),"0538")</f>
        <v>0538</v>
      </c>
      <c r="R482" s="2" t="str">
        <f ca="1">IFERROR(__xludf.DUMMYFUNCTION("""COMPUTED_VALUE"""),"06.001.0010.0302.0094.2045.33.90.39")</f>
        <v>06.001.0010.0302.0094.2045.33.90.39</v>
      </c>
      <c r="S482" s="2" t="str">
        <f ca="1">IFERROR(__xludf.DUMMYFUNCTION("""COMPUTED_VALUE"""),"00496")</f>
        <v>00496</v>
      </c>
      <c r="T482" s="2">
        <f ca="1">IFERROR(__xludf.DUMMYFUNCTION("""COMPUTED_VALUE"""),2024)</f>
        <v>2024</v>
      </c>
      <c r="U482" s="2" t="str">
        <f ca="1">IFERROR(__xludf.DUMMYFUNCTION("""COMPUTED_VALUE"""),"0648")</f>
        <v>0648</v>
      </c>
      <c r="V482" s="2" t="str">
        <f ca="1">IFERROR(__xludf.DUMMYFUNCTION("""COMPUTED_VALUE"""),"10.003.0018.0542.0123.2111.33.90.39")</f>
        <v>10.003.0018.0542.0123.2111.33.90.39</v>
      </c>
      <c r="W482" s="2" t="str">
        <f ca="1">IFERROR(__xludf.DUMMYFUNCTION("""COMPUTED_VALUE"""),"0")</f>
        <v>0</v>
      </c>
      <c r="X482" s="2"/>
      <c r="Y482" s="2"/>
      <c r="Z482" s="2"/>
      <c r="AA482" s="2"/>
      <c r="AB482" s="2"/>
      <c r="AC482" s="2"/>
      <c r="AD482" s="2"/>
      <c r="AE482" s="2"/>
      <c r="AF482" s="2"/>
    </row>
    <row r="483" spans="1:32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>
        <f ca="1">IFERROR(__xludf.DUMMYFUNCTION("""COMPUTED_VALUE"""),2023)</f>
        <v>2023</v>
      </c>
      <c r="Q483" s="2" t="str">
        <f ca="1">IFERROR(__xludf.DUMMYFUNCTION("""COMPUTED_VALUE"""),"0539")</f>
        <v>0539</v>
      </c>
      <c r="R483" s="2" t="str">
        <f ca="1">IFERROR(__xludf.DUMMYFUNCTION("""COMPUTED_VALUE"""),"06.001.0010.0304.0094.2046.33.90.39")</f>
        <v>06.001.0010.0304.0094.2046.33.90.39</v>
      </c>
      <c r="S483" s="2" t="str">
        <f ca="1">IFERROR(__xludf.DUMMYFUNCTION("""COMPUTED_VALUE"""),"04942")</f>
        <v>04942</v>
      </c>
      <c r="T483" s="2">
        <f ca="1">IFERROR(__xludf.DUMMYFUNCTION("""COMPUTED_VALUE"""),2024)</f>
        <v>2024</v>
      </c>
      <c r="U483" s="2" t="str">
        <f ca="1">IFERROR(__xludf.DUMMYFUNCTION("""COMPUTED_VALUE"""),"0649")</f>
        <v>0649</v>
      </c>
      <c r="V483" s="2" t="str">
        <f ca="1">IFERROR(__xludf.DUMMYFUNCTION("""COMPUTED_VALUE"""),"10.004.0018.0541.0123.1200.33.71.70")</f>
        <v>10.004.0018.0541.0123.1200.33.71.70</v>
      </c>
      <c r="W483" s="2" t="str">
        <f ca="1">IFERROR(__xludf.DUMMYFUNCTION("""COMPUTED_VALUE"""),"0")</f>
        <v>0</v>
      </c>
      <c r="X483" s="2"/>
      <c r="Y483" s="2"/>
      <c r="Z483" s="2"/>
      <c r="AA483" s="2"/>
      <c r="AB483" s="2"/>
      <c r="AC483" s="2"/>
      <c r="AD483" s="2"/>
      <c r="AE483" s="2"/>
      <c r="AF483" s="2"/>
    </row>
    <row r="484" spans="1:32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>
        <f ca="1">IFERROR(__xludf.DUMMYFUNCTION("""COMPUTED_VALUE"""),2023)</f>
        <v>2023</v>
      </c>
      <c r="Q484" s="2" t="str">
        <f ca="1">IFERROR(__xludf.DUMMYFUNCTION("""COMPUTED_VALUE"""),"0540")</f>
        <v>0540</v>
      </c>
      <c r="R484" s="2" t="str">
        <f ca="1">IFERROR(__xludf.DUMMYFUNCTION("""COMPUTED_VALUE"""),"06.001.0010.0122.0094.2047.33.90.39")</f>
        <v>06.001.0010.0122.0094.2047.33.90.39</v>
      </c>
      <c r="S484" s="2" t="str">
        <f ca="1">IFERROR(__xludf.DUMMYFUNCTION("""COMPUTED_VALUE"""),"00303")</f>
        <v>00303</v>
      </c>
      <c r="T484" s="2">
        <f ca="1">IFERROR(__xludf.DUMMYFUNCTION("""COMPUTED_VALUE"""),2024)</f>
        <v>2024</v>
      </c>
      <c r="U484" s="2" t="str">
        <f ca="1">IFERROR(__xludf.DUMMYFUNCTION("""COMPUTED_VALUE"""),"0653")</f>
        <v>0653</v>
      </c>
      <c r="V484" s="2" t="str">
        <f ca="1">IFERROR(__xludf.DUMMYFUNCTION("""COMPUTED_VALUE"""),"10.004.0018.0541.0123.1200.33.90.30")</f>
        <v>10.004.0018.0541.0123.1200.33.90.30</v>
      </c>
      <c r="W484" s="2" t="str">
        <f ca="1">IFERROR(__xludf.DUMMYFUNCTION("""COMPUTED_VALUE"""),"511")</f>
        <v>511</v>
      </c>
      <c r="X484" s="2"/>
      <c r="Y484" s="2"/>
      <c r="Z484" s="2"/>
      <c r="AA484" s="2"/>
      <c r="AB484" s="2"/>
      <c r="AC484" s="2"/>
      <c r="AD484" s="2"/>
      <c r="AE484" s="2"/>
      <c r="AF484" s="2"/>
    </row>
    <row r="485" spans="1:32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>
        <f ca="1">IFERROR(__xludf.DUMMYFUNCTION("""COMPUTED_VALUE"""),2023)</f>
        <v>2023</v>
      </c>
      <c r="Q485" s="2" t="str">
        <f ca="1">IFERROR(__xludf.DUMMYFUNCTION("""COMPUTED_VALUE"""),"0542")</f>
        <v>0542</v>
      </c>
      <c r="R485" s="2" t="str">
        <f ca="1">IFERROR(__xludf.DUMMYFUNCTION("""COMPUTED_VALUE"""),"06.001.0010.0243.0094.6002.33.90.39")</f>
        <v>06.001.0010.0243.0094.6002.33.90.39</v>
      </c>
      <c r="S485" s="2" t="str">
        <f ca="1">IFERROR(__xludf.DUMMYFUNCTION("""COMPUTED_VALUE"""),"00303")</f>
        <v>00303</v>
      </c>
      <c r="T485" s="2">
        <f ca="1">IFERROR(__xludf.DUMMYFUNCTION("""COMPUTED_VALUE"""),2024)</f>
        <v>2024</v>
      </c>
      <c r="U485" s="2" t="str">
        <f ca="1">IFERROR(__xludf.DUMMYFUNCTION("""COMPUTED_VALUE"""),"0650")</f>
        <v>0650</v>
      </c>
      <c r="V485" s="2" t="str">
        <f ca="1">IFERROR(__xludf.DUMMYFUNCTION("""COMPUTED_VALUE"""),"10.004.0018.0541.0123.1200.33.90.39")</f>
        <v>10.004.0018.0541.0123.1200.33.90.39</v>
      </c>
      <c r="W485" s="2" t="str">
        <f ca="1">IFERROR(__xludf.DUMMYFUNCTION("""COMPUTED_VALUE"""),"0")</f>
        <v>0</v>
      </c>
      <c r="X485" s="2"/>
      <c r="Y485" s="2"/>
      <c r="Z485" s="2"/>
      <c r="AA485" s="2"/>
      <c r="AB485" s="2"/>
      <c r="AC485" s="2"/>
      <c r="AD485" s="2"/>
      <c r="AE485" s="2"/>
      <c r="AF485" s="2"/>
    </row>
    <row r="486" spans="1:32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>
        <f ca="1">IFERROR(__xludf.DUMMYFUNCTION("""COMPUTED_VALUE"""),2023)</f>
        <v>2023</v>
      </c>
      <c r="Q486" s="2" t="str">
        <f ca="1">IFERROR(__xludf.DUMMYFUNCTION("""COMPUTED_VALUE"""),"0543")</f>
        <v>0543</v>
      </c>
      <c r="R486" s="2" t="str">
        <f ca="1">IFERROR(__xludf.DUMMYFUNCTION("""COMPUTED_VALUE"""),"07.002.0015.0451.0104.1046.33.90.39")</f>
        <v>07.002.0015.0451.0104.1046.33.90.39</v>
      </c>
      <c r="S486" s="2" t="str">
        <f ca="1">IFERROR(__xludf.DUMMYFUNCTION("""COMPUTED_VALUE"""),"0000")</f>
        <v>0000</v>
      </c>
      <c r="T486" s="2">
        <f ca="1">IFERROR(__xludf.DUMMYFUNCTION("""COMPUTED_VALUE"""),2024)</f>
        <v>2024</v>
      </c>
      <c r="U486" s="2" t="str">
        <f ca="1">IFERROR(__xludf.DUMMYFUNCTION("""COMPUTED_VALUE"""),"0651")</f>
        <v>0651</v>
      </c>
      <c r="V486" s="2" t="str">
        <f ca="1">IFERROR(__xludf.DUMMYFUNCTION("""COMPUTED_VALUE"""),"10.004.0018.0541.0123.1200.33.90.39")</f>
        <v>10.004.0018.0541.0123.1200.33.90.39</v>
      </c>
      <c r="W486" s="2" t="str">
        <f ca="1">IFERROR(__xludf.DUMMYFUNCTION("""COMPUTED_VALUE"""),"0")</f>
        <v>0</v>
      </c>
      <c r="X486" s="2"/>
      <c r="Y486" s="2"/>
      <c r="Z486" s="2"/>
      <c r="AA486" s="2"/>
      <c r="AB486" s="2"/>
      <c r="AC486" s="2"/>
      <c r="AD486" s="2"/>
      <c r="AE486" s="2"/>
      <c r="AF486" s="2"/>
    </row>
    <row r="487" spans="1:32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>
        <f ca="1">IFERROR(__xludf.DUMMYFUNCTION("""COMPUTED_VALUE"""),2023)</f>
        <v>2023</v>
      </c>
      <c r="Q487" s="2" t="str">
        <f ca="1">IFERROR(__xludf.DUMMYFUNCTION("""COMPUTED_VALUE"""),"0544")</f>
        <v>0544</v>
      </c>
      <c r="R487" s="2" t="str">
        <f ca="1">IFERROR(__xludf.DUMMYFUNCTION("""COMPUTED_VALUE"""),"07.002.0015.0451.0104.1046.33.90.39")</f>
        <v>07.002.0015.0451.0104.1046.33.90.39</v>
      </c>
      <c r="S487" s="2" t="str">
        <f ca="1">IFERROR(__xludf.DUMMYFUNCTION("""COMPUTED_VALUE"""),"00033")</f>
        <v>00033</v>
      </c>
      <c r="T487" s="2">
        <f ca="1">IFERROR(__xludf.DUMMYFUNCTION("""COMPUTED_VALUE"""),2024)</f>
        <v>2024</v>
      </c>
      <c r="U487" s="2" t="str">
        <f ca="1">IFERROR(__xludf.DUMMYFUNCTION("""COMPUTED_VALUE"""),"0654")</f>
        <v>0654</v>
      </c>
      <c r="V487" s="2" t="str">
        <f ca="1">IFERROR(__xludf.DUMMYFUNCTION("""COMPUTED_VALUE"""),"10.004.0018.0541.0123.1200.44.71.70")</f>
        <v>10.004.0018.0541.0123.1200.44.71.70</v>
      </c>
      <c r="W487" s="2" t="str">
        <f ca="1">IFERROR(__xludf.DUMMYFUNCTION("""COMPUTED_VALUE"""),"511")</f>
        <v>511</v>
      </c>
      <c r="X487" s="2"/>
      <c r="Y487" s="2"/>
      <c r="Z487" s="2"/>
      <c r="AA487" s="2"/>
      <c r="AB487" s="2"/>
      <c r="AC487" s="2"/>
      <c r="AD487" s="2"/>
      <c r="AE487" s="2"/>
      <c r="AF487" s="2"/>
    </row>
    <row r="488" spans="1:32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>
        <f ca="1">IFERROR(__xludf.DUMMYFUNCTION("""COMPUTED_VALUE"""),2023)</f>
        <v>2023</v>
      </c>
      <c r="Q488" s="2" t="str">
        <f ca="1">IFERROR(__xludf.DUMMYFUNCTION("""COMPUTED_VALUE"""),"0545")</f>
        <v>0545</v>
      </c>
      <c r="R488" s="2" t="str">
        <f ca="1">IFERROR(__xludf.DUMMYFUNCTION("""COMPUTED_VALUE"""),"07.003.0015.0452.0104.1051.33.90.39")</f>
        <v>07.003.0015.0452.0104.1051.33.90.39</v>
      </c>
      <c r="S488" s="2" t="str">
        <f ca="1">IFERROR(__xludf.DUMMYFUNCTION("""COMPUTED_VALUE"""),"0000")</f>
        <v>0000</v>
      </c>
      <c r="T488" s="2">
        <f ca="1">IFERROR(__xludf.DUMMYFUNCTION("""COMPUTED_VALUE"""),2024)</f>
        <v>2024</v>
      </c>
      <c r="U488" s="2" t="str">
        <f ca="1">IFERROR(__xludf.DUMMYFUNCTION("""COMPUTED_VALUE"""),"0655")</f>
        <v>0655</v>
      </c>
      <c r="V488" s="2" t="str">
        <f ca="1">IFERROR(__xludf.DUMMYFUNCTION("""COMPUTED_VALUE"""),"10.004.0018.0541.0123.1200.44.90.30")</f>
        <v>10.004.0018.0541.0123.1200.44.90.30</v>
      </c>
      <c r="W488" s="2" t="str">
        <f ca="1">IFERROR(__xludf.DUMMYFUNCTION("""COMPUTED_VALUE"""),"511")</f>
        <v>511</v>
      </c>
      <c r="X488" s="2"/>
      <c r="Y488" s="2"/>
      <c r="Z488" s="2"/>
      <c r="AA488" s="2"/>
      <c r="AB488" s="2"/>
      <c r="AC488" s="2"/>
      <c r="AD488" s="2"/>
      <c r="AE488" s="2"/>
      <c r="AF488" s="2"/>
    </row>
    <row r="489" spans="1:32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>
        <f ca="1">IFERROR(__xludf.DUMMYFUNCTION("""COMPUTED_VALUE"""),2023)</f>
        <v>2023</v>
      </c>
      <c r="Q489" s="2" t="str">
        <f ca="1">IFERROR(__xludf.DUMMYFUNCTION("""COMPUTED_VALUE"""),"0546")</f>
        <v>0546</v>
      </c>
      <c r="R489" s="2" t="str">
        <f ca="1">IFERROR(__xludf.DUMMYFUNCTION("""COMPUTED_VALUE"""),"07.007.0015.0452.0104.1052.33.90.39")</f>
        <v>07.007.0015.0452.0104.1052.33.90.39</v>
      </c>
      <c r="S489" s="2" t="str">
        <f ca="1">IFERROR(__xludf.DUMMYFUNCTION("""COMPUTED_VALUE"""),"0000")</f>
        <v>0000</v>
      </c>
      <c r="T489" s="2">
        <f ca="1">IFERROR(__xludf.DUMMYFUNCTION("""COMPUTED_VALUE"""),2024)</f>
        <v>2024</v>
      </c>
      <c r="U489" s="2" t="str">
        <f ca="1">IFERROR(__xludf.DUMMYFUNCTION("""COMPUTED_VALUE"""),"0652")</f>
        <v>0652</v>
      </c>
      <c r="V489" s="2" t="str">
        <f ca="1">IFERROR(__xludf.DUMMYFUNCTION("""COMPUTED_VALUE"""),"10.005.0018.0541.0123.2112.33.90.30")</f>
        <v>10.005.0018.0541.0123.2112.33.90.30</v>
      </c>
      <c r="W489" s="2" t="str">
        <f ca="1">IFERROR(__xludf.DUMMYFUNCTION("""COMPUTED_VALUE"""),"0")</f>
        <v>0</v>
      </c>
      <c r="X489" s="2"/>
      <c r="Y489" s="2"/>
      <c r="Z489" s="2"/>
      <c r="AA489" s="2"/>
      <c r="AB489" s="2"/>
      <c r="AC489" s="2"/>
      <c r="AD489" s="2"/>
      <c r="AE489" s="2"/>
      <c r="AF489" s="2"/>
    </row>
    <row r="490" spans="1:32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>
        <f ca="1">IFERROR(__xludf.DUMMYFUNCTION("""COMPUTED_VALUE"""),2023)</f>
        <v>2023</v>
      </c>
      <c r="Q490" s="2" t="str">
        <f ca="1">IFERROR(__xludf.DUMMYFUNCTION("""COMPUTED_VALUE"""),"0547")</f>
        <v>0547</v>
      </c>
      <c r="R490" s="2" t="str">
        <f ca="1">IFERROR(__xludf.DUMMYFUNCTION("""COMPUTED_VALUE"""),"07.007.0015.0452.0104.1053.33.90.39")</f>
        <v>07.007.0015.0452.0104.1053.33.90.39</v>
      </c>
      <c r="S490" s="2" t="str">
        <f ca="1">IFERROR(__xludf.DUMMYFUNCTION("""COMPUTED_VALUE"""),"0000")</f>
        <v>0000</v>
      </c>
      <c r="T490" s="2">
        <f ca="1">IFERROR(__xludf.DUMMYFUNCTION("""COMPUTED_VALUE"""),2024)</f>
        <v>2024</v>
      </c>
      <c r="U490" s="2" t="str">
        <f ca="1">IFERROR(__xludf.DUMMYFUNCTION("""COMPUTED_VALUE"""),"0656")</f>
        <v>0656</v>
      </c>
      <c r="V490" s="2" t="str">
        <f ca="1">IFERROR(__xludf.DUMMYFUNCTION("""COMPUTED_VALUE"""),"10.005.0018.0541.0123.2112.33.90.32")</f>
        <v>10.005.0018.0541.0123.2112.33.90.32</v>
      </c>
      <c r="W490" s="2" t="str">
        <f ca="1">IFERROR(__xludf.DUMMYFUNCTION("""COMPUTED_VALUE"""),"0")</f>
        <v>0</v>
      </c>
      <c r="X490" s="2"/>
      <c r="Y490" s="2"/>
      <c r="Z490" s="2"/>
      <c r="AA490" s="2"/>
      <c r="AB490" s="2"/>
      <c r="AC490" s="2"/>
      <c r="AD490" s="2"/>
      <c r="AE490" s="2"/>
      <c r="AF490" s="2"/>
    </row>
    <row r="491" spans="1:32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>
        <f ca="1">IFERROR(__xludf.DUMMYFUNCTION("""COMPUTED_VALUE"""),2023)</f>
        <v>2023</v>
      </c>
      <c r="Q491" s="2" t="str">
        <f ca="1">IFERROR(__xludf.DUMMYFUNCTION("""COMPUTED_VALUE"""),"0548")</f>
        <v>0548</v>
      </c>
      <c r="R491" s="2" t="str">
        <f ca="1">IFERROR(__xludf.DUMMYFUNCTION("""COMPUTED_VALUE"""),"07.001.0004.0122.0104.2131.33.90.39")</f>
        <v>07.001.0004.0122.0104.2131.33.90.39</v>
      </c>
      <c r="S491" s="2" t="str">
        <f ca="1">IFERROR(__xludf.DUMMYFUNCTION("""COMPUTED_VALUE"""),"0000")</f>
        <v>0000</v>
      </c>
      <c r="T491" s="2">
        <f ca="1">IFERROR(__xludf.DUMMYFUNCTION("""COMPUTED_VALUE"""),2024)</f>
        <v>2024</v>
      </c>
      <c r="U491" s="2" t="str">
        <f ca="1">IFERROR(__xludf.DUMMYFUNCTION("""COMPUTED_VALUE"""),"0657")</f>
        <v>0657</v>
      </c>
      <c r="V491" s="2" t="str">
        <f ca="1">IFERROR(__xludf.DUMMYFUNCTION("""COMPUTED_VALUE"""),"10.005.0018.0541.0123.2112.33.90.39")</f>
        <v>10.005.0018.0541.0123.2112.33.90.39</v>
      </c>
      <c r="W491" s="2" t="str">
        <f ca="1">IFERROR(__xludf.DUMMYFUNCTION("""COMPUTED_VALUE"""),"0")</f>
        <v>0</v>
      </c>
      <c r="X491" s="2"/>
      <c r="Y491" s="2"/>
      <c r="Z491" s="2"/>
      <c r="AA491" s="2"/>
      <c r="AB491" s="2"/>
      <c r="AC491" s="2"/>
      <c r="AD491" s="2"/>
      <c r="AE491" s="2"/>
      <c r="AF491" s="2"/>
    </row>
    <row r="492" spans="1:3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>
        <f ca="1">IFERROR(__xludf.DUMMYFUNCTION("""COMPUTED_VALUE"""),2023)</f>
        <v>2023</v>
      </c>
      <c r="Q492" s="2" t="str">
        <f ca="1">IFERROR(__xludf.DUMMYFUNCTION("""COMPUTED_VALUE"""),"0549")</f>
        <v>0549</v>
      </c>
      <c r="R492" s="2" t="str">
        <f ca="1">IFERROR(__xludf.DUMMYFUNCTION("""COMPUTED_VALUE"""),"07.005.0015.0452.0104.2132.33.90.39")</f>
        <v>07.005.0015.0452.0104.2132.33.90.39</v>
      </c>
      <c r="S492" s="2" t="str">
        <f ca="1">IFERROR(__xludf.DUMMYFUNCTION("""COMPUTED_VALUE"""),"0000")</f>
        <v>0000</v>
      </c>
      <c r="T492" s="2">
        <f ca="1">IFERROR(__xludf.DUMMYFUNCTION("""COMPUTED_VALUE"""),2024)</f>
        <v>2024</v>
      </c>
      <c r="U492" s="2" t="str">
        <f ca="1">IFERROR(__xludf.DUMMYFUNCTION("""COMPUTED_VALUE"""),"0658")</f>
        <v>0658</v>
      </c>
      <c r="V492" s="2" t="str">
        <f ca="1">IFERROR(__xludf.DUMMYFUNCTION("""COMPUTED_VALUE"""),"10.006.0018.0541.0123.1041.44.90.30")</f>
        <v>10.006.0018.0541.0123.1041.44.90.30</v>
      </c>
      <c r="W492" s="2" t="str">
        <f ca="1">IFERROR(__xludf.DUMMYFUNCTION("""COMPUTED_VALUE"""),"0")</f>
        <v>0</v>
      </c>
      <c r="X492" s="2"/>
      <c r="Y492" s="2"/>
      <c r="Z492" s="2"/>
      <c r="AA492" s="2"/>
      <c r="AB492" s="2"/>
      <c r="AC492" s="2"/>
      <c r="AD492" s="2"/>
      <c r="AE492" s="2"/>
      <c r="AF492" s="2"/>
    </row>
    <row r="493" spans="1:32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>
        <f ca="1">IFERROR(__xludf.DUMMYFUNCTION("""COMPUTED_VALUE"""),2023)</f>
        <v>2023</v>
      </c>
      <c r="Q493" s="2" t="str">
        <f ca="1">IFERROR(__xludf.DUMMYFUNCTION("""COMPUTED_VALUE"""),"0550")</f>
        <v>0550</v>
      </c>
      <c r="R493" s="2" t="str">
        <f ca="1">IFERROR(__xludf.DUMMYFUNCTION("""COMPUTED_VALUE"""),"07.003.0015.0452.0104.2135.33.90.39")</f>
        <v>07.003.0015.0452.0104.2135.33.90.39</v>
      </c>
      <c r="S493" s="2" t="str">
        <f ca="1">IFERROR(__xludf.DUMMYFUNCTION("""COMPUTED_VALUE"""),"0000")</f>
        <v>0000</v>
      </c>
      <c r="T493" s="2">
        <f ca="1">IFERROR(__xludf.DUMMYFUNCTION("""COMPUTED_VALUE"""),2024)</f>
        <v>2024</v>
      </c>
      <c r="U493" s="2" t="str">
        <f ca="1">IFERROR(__xludf.DUMMYFUNCTION("""COMPUTED_VALUE"""),"0660")</f>
        <v>0660</v>
      </c>
      <c r="V493" s="2" t="str">
        <f ca="1">IFERROR(__xludf.DUMMYFUNCTION("""COMPUTED_VALUE"""),"10.006.0018.0541.0123.1041.44.90.51")</f>
        <v>10.006.0018.0541.0123.1041.44.90.51</v>
      </c>
      <c r="W493" s="2" t="str">
        <f ca="1">IFERROR(__xludf.DUMMYFUNCTION("""COMPUTED_VALUE"""),"555")</f>
        <v>555</v>
      </c>
      <c r="X493" s="2"/>
      <c r="Y493" s="2"/>
      <c r="Z493" s="2"/>
      <c r="AA493" s="2"/>
      <c r="AB493" s="2"/>
      <c r="AC493" s="2"/>
      <c r="AD493" s="2"/>
      <c r="AE493" s="2"/>
      <c r="AF493" s="2"/>
    </row>
    <row r="494" spans="1:32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>
        <f ca="1">IFERROR(__xludf.DUMMYFUNCTION("""COMPUTED_VALUE"""),2023)</f>
        <v>2023</v>
      </c>
      <c r="Q494" s="2" t="str">
        <f ca="1">IFERROR(__xludf.DUMMYFUNCTION("""COMPUTED_VALUE"""),"0551")</f>
        <v>0551</v>
      </c>
      <c r="R494" s="2" t="str">
        <f ca="1">IFERROR(__xludf.DUMMYFUNCTION("""COMPUTED_VALUE"""),"07.003.0015.0452.0104.2135.33.90.39")</f>
        <v>07.003.0015.0452.0104.2135.33.90.39</v>
      </c>
      <c r="S494" s="2" t="str">
        <f ca="1">IFERROR(__xludf.DUMMYFUNCTION("""COMPUTED_VALUE"""),"00509")</f>
        <v>00509</v>
      </c>
      <c r="T494" s="2">
        <f ca="1">IFERROR(__xludf.DUMMYFUNCTION("""COMPUTED_VALUE"""),2024)</f>
        <v>2024</v>
      </c>
      <c r="U494" s="2" t="str">
        <f ca="1">IFERROR(__xludf.DUMMYFUNCTION("""COMPUTED_VALUE"""),"0659")</f>
        <v>0659</v>
      </c>
      <c r="V494" s="2" t="str">
        <f ca="1">IFERROR(__xludf.DUMMYFUNCTION("""COMPUTED_VALUE"""),"10.006.0018.0541.0123.1041.44.90.51")</f>
        <v>10.006.0018.0541.0123.1041.44.90.51</v>
      </c>
      <c r="W494" s="2" t="str">
        <f ca="1">IFERROR(__xludf.DUMMYFUNCTION("""COMPUTED_VALUE"""),"11")</f>
        <v>11</v>
      </c>
      <c r="X494" s="2"/>
      <c r="Y494" s="2"/>
      <c r="Z494" s="2"/>
      <c r="AA494" s="2"/>
      <c r="AB494" s="2"/>
      <c r="AC494" s="2"/>
      <c r="AD494" s="2"/>
      <c r="AE494" s="2"/>
      <c r="AF494" s="2"/>
    </row>
    <row r="495" spans="1:32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>
        <f ca="1">IFERROR(__xludf.DUMMYFUNCTION("""COMPUTED_VALUE"""),2023)</f>
        <v>2023</v>
      </c>
      <c r="Q495" s="2" t="str">
        <f ca="1">IFERROR(__xludf.DUMMYFUNCTION("""COMPUTED_VALUE"""),"0552")</f>
        <v>0552</v>
      </c>
      <c r="R495" s="2" t="str">
        <f ca="1">IFERROR(__xludf.DUMMYFUNCTION("""COMPUTED_VALUE"""),"07.006.0015.0452.0104.2136.33.90.39")</f>
        <v>07.006.0015.0452.0104.2136.33.90.39</v>
      </c>
      <c r="S495" s="2" t="str">
        <f ca="1">IFERROR(__xludf.DUMMYFUNCTION("""COMPUTED_VALUE"""),"0000")</f>
        <v>0000</v>
      </c>
      <c r="T495" s="2">
        <f ca="1">IFERROR(__xludf.DUMMYFUNCTION("""COMPUTED_VALUE"""),2024)</f>
        <v>2024</v>
      </c>
      <c r="U495" s="2" t="str">
        <f ca="1">IFERROR(__xludf.DUMMYFUNCTION("""COMPUTED_VALUE"""),"0662")</f>
        <v>0662</v>
      </c>
      <c r="V495" s="2" t="str">
        <f ca="1">IFERROR(__xludf.DUMMYFUNCTION("""COMPUTED_VALUE"""),"10.006.0018.0541.0123.1041.44.90.51")</f>
        <v>10.006.0018.0541.0123.1041.44.90.51</v>
      </c>
      <c r="W495" s="2" t="str">
        <f ca="1">IFERROR(__xludf.DUMMYFUNCTION("""COMPUTED_VALUE"""),"555")</f>
        <v>555</v>
      </c>
      <c r="X495" s="2"/>
      <c r="Y495" s="2"/>
      <c r="Z495" s="2"/>
      <c r="AA495" s="2"/>
      <c r="AB495" s="2"/>
      <c r="AC495" s="2"/>
      <c r="AD495" s="2"/>
      <c r="AE495" s="2"/>
      <c r="AF495" s="2"/>
    </row>
    <row r="496" spans="1:32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>
        <f ca="1">IFERROR(__xludf.DUMMYFUNCTION("""COMPUTED_VALUE"""),2023)</f>
        <v>2023</v>
      </c>
      <c r="Q496" s="2" t="str">
        <f ca="1">IFERROR(__xludf.DUMMYFUNCTION("""COMPUTED_VALUE"""),"0553")</f>
        <v>0553</v>
      </c>
      <c r="R496" s="2" t="str">
        <f ca="1">IFERROR(__xludf.DUMMYFUNCTION("""COMPUTED_VALUE"""),"07.007.0015.0452.0104.2137.33.90.39")</f>
        <v>07.007.0015.0452.0104.2137.33.90.39</v>
      </c>
      <c r="S496" s="2" t="str">
        <f ca="1">IFERROR(__xludf.DUMMYFUNCTION("""COMPUTED_VALUE"""),"0000")</f>
        <v>0000</v>
      </c>
      <c r="T496" s="2">
        <f ca="1">IFERROR(__xludf.DUMMYFUNCTION("""COMPUTED_VALUE"""),2024)</f>
        <v>2024</v>
      </c>
      <c r="U496" s="2" t="str">
        <f ca="1">IFERROR(__xludf.DUMMYFUNCTION("""COMPUTED_VALUE"""),"0664")</f>
        <v>0664</v>
      </c>
      <c r="V496" s="2" t="str">
        <f ca="1">IFERROR(__xludf.DUMMYFUNCTION("""COMPUTED_VALUE"""),"10.006.0018.0541.0123.1041.44.90.52")</f>
        <v>10.006.0018.0541.0123.1041.44.90.52</v>
      </c>
      <c r="W496" s="2" t="str">
        <f ca="1">IFERROR(__xludf.DUMMYFUNCTION("""COMPUTED_VALUE"""),"5103")</f>
        <v>5103</v>
      </c>
      <c r="X496" s="2"/>
      <c r="Y496" s="2"/>
      <c r="Z496" s="2"/>
      <c r="AA496" s="2"/>
      <c r="AB496" s="2"/>
      <c r="AC496" s="2"/>
      <c r="AD496" s="2"/>
      <c r="AE496" s="2"/>
      <c r="AF496" s="2"/>
    </row>
    <row r="497" spans="1:32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>
        <f ca="1">IFERROR(__xludf.DUMMYFUNCTION("""COMPUTED_VALUE"""),2023)</f>
        <v>2023</v>
      </c>
      <c r="Q497" s="2" t="str">
        <f ca="1">IFERROR(__xludf.DUMMYFUNCTION("""COMPUTED_VALUE"""),"0554")</f>
        <v>0554</v>
      </c>
      <c r="R497" s="2" t="str">
        <f ca="1">IFERROR(__xludf.DUMMYFUNCTION("""COMPUTED_VALUE"""),"07.007.0015.0452.0104.2137.33.90.39")</f>
        <v>07.007.0015.0452.0104.2137.33.90.39</v>
      </c>
      <c r="S497" s="2" t="str">
        <f ca="1">IFERROR(__xludf.DUMMYFUNCTION("""COMPUTED_VALUE"""),"00033")</f>
        <v>00033</v>
      </c>
      <c r="T497" s="2">
        <f ca="1">IFERROR(__xludf.DUMMYFUNCTION("""COMPUTED_VALUE"""),2024)</f>
        <v>2024</v>
      </c>
      <c r="U497" s="2" t="str">
        <f ca="1">IFERROR(__xludf.DUMMYFUNCTION("""COMPUTED_VALUE"""),"0663")</f>
        <v>0663</v>
      </c>
      <c r="V497" s="2" t="str">
        <f ca="1">IFERROR(__xludf.DUMMYFUNCTION("""COMPUTED_VALUE"""),"10.006.0018.0541.0123.1041.44.90.52")</f>
        <v>10.006.0018.0541.0123.1041.44.90.52</v>
      </c>
      <c r="W497" s="2" t="str">
        <f ca="1">IFERROR(__xludf.DUMMYFUNCTION("""COMPUTED_VALUE"""),"555")</f>
        <v>555</v>
      </c>
      <c r="X497" s="2"/>
      <c r="Y497" s="2"/>
      <c r="Z497" s="2"/>
      <c r="AA497" s="2"/>
      <c r="AB497" s="2"/>
      <c r="AC497" s="2"/>
      <c r="AD497" s="2"/>
      <c r="AE497" s="2"/>
      <c r="AF497" s="2"/>
    </row>
    <row r="498" spans="1:32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>
        <f ca="1">IFERROR(__xludf.DUMMYFUNCTION("""COMPUTED_VALUE"""),2023)</f>
        <v>2023</v>
      </c>
      <c r="Q498" s="2" t="str">
        <f ca="1">IFERROR(__xludf.DUMMYFUNCTION("""COMPUTED_VALUE"""),"0555")</f>
        <v>0555</v>
      </c>
      <c r="R498" s="2" t="str">
        <f ca="1">IFERROR(__xludf.DUMMYFUNCTION("""COMPUTED_VALUE"""),"07.003.0015.0452.0107.2133.33.90.39")</f>
        <v>07.003.0015.0452.0107.2133.33.90.39</v>
      </c>
      <c r="S498" s="2" t="str">
        <f ca="1">IFERROR(__xludf.DUMMYFUNCTION("""COMPUTED_VALUE"""),"0000")</f>
        <v>0000</v>
      </c>
      <c r="T498" s="2">
        <f ca="1">IFERROR(__xludf.DUMMYFUNCTION("""COMPUTED_VALUE"""),2024)</f>
        <v>2024</v>
      </c>
      <c r="U498" s="2" t="str">
        <f ca="1">IFERROR(__xludf.DUMMYFUNCTION("""COMPUTED_VALUE"""),"0665")</f>
        <v>0665</v>
      </c>
      <c r="V498" s="2" t="str">
        <f ca="1">IFERROR(__xludf.DUMMYFUNCTION("""COMPUTED_VALUE"""),"10.006.0018.0541.0123.2114.33.90.30")</f>
        <v>10.006.0018.0541.0123.2114.33.90.30</v>
      </c>
      <c r="W498" s="2" t="str">
        <f ca="1">IFERROR(__xludf.DUMMYFUNCTION("""COMPUTED_VALUE"""),"5103")</f>
        <v>5103</v>
      </c>
      <c r="X498" s="2"/>
      <c r="Y498" s="2"/>
      <c r="Z498" s="2"/>
      <c r="AA498" s="2"/>
      <c r="AB498" s="2"/>
      <c r="AC498" s="2"/>
      <c r="AD498" s="2"/>
      <c r="AE498" s="2"/>
      <c r="AF498" s="2"/>
    </row>
    <row r="499" spans="1:32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>
        <f ca="1">IFERROR(__xludf.DUMMYFUNCTION("""COMPUTED_VALUE"""),2023)</f>
        <v>2023</v>
      </c>
      <c r="Q499" s="2" t="str">
        <f ca="1">IFERROR(__xludf.DUMMYFUNCTION("""COMPUTED_VALUE"""),"0556")</f>
        <v>0556</v>
      </c>
      <c r="R499" s="2" t="str">
        <f ca="1">IFERROR(__xludf.DUMMYFUNCTION("""COMPUTED_VALUE"""),"07.003.0015.0452.0107.2133.33.90.39")</f>
        <v>07.003.0015.0452.0107.2133.33.90.39</v>
      </c>
      <c r="S499" s="2" t="str">
        <f ca="1">IFERROR(__xludf.DUMMYFUNCTION("""COMPUTED_VALUE"""),"00507")</f>
        <v>00507</v>
      </c>
      <c r="T499" s="2">
        <f ca="1">IFERROR(__xludf.DUMMYFUNCTION("""COMPUTED_VALUE"""),2024)</f>
        <v>2024</v>
      </c>
      <c r="U499" s="2" t="str">
        <f ca="1">IFERROR(__xludf.DUMMYFUNCTION("""COMPUTED_VALUE"""),"0666")</f>
        <v>0666</v>
      </c>
      <c r="V499" s="2" t="str">
        <f ca="1">IFERROR(__xludf.DUMMYFUNCTION("""COMPUTED_VALUE"""),"10.006.0018.0541.0123.2114.33.90.39")</f>
        <v>10.006.0018.0541.0123.2114.33.90.39</v>
      </c>
      <c r="W499" s="2" t="str">
        <f ca="1">IFERROR(__xludf.DUMMYFUNCTION("""COMPUTED_VALUE"""),"555")</f>
        <v>555</v>
      </c>
      <c r="X499" s="2"/>
      <c r="Y499" s="2"/>
      <c r="Z499" s="2"/>
      <c r="AA499" s="2"/>
      <c r="AB499" s="2"/>
      <c r="AC499" s="2"/>
      <c r="AD499" s="2"/>
      <c r="AE499" s="2"/>
      <c r="AF499" s="2"/>
    </row>
    <row r="500" spans="1:32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>
        <f ca="1">IFERROR(__xludf.DUMMYFUNCTION("""COMPUTED_VALUE"""),2023)</f>
        <v>2023</v>
      </c>
      <c r="Q500" s="2" t="str">
        <f ca="1">IFERROR(__xludf.DUMMYFUNCTION("""COMPUTED_VALUE"""),"0557")</f>
        <v>0557</v>
      </c>
      <c r="R500" s="2" t="str">
        <f ca="1">IFERROR(__xludf.DUMMYFUNCTION("""COMPUTED_VALUE"""),"12.003.0023.0695.0113.2119.33.90.39")</f>
        <v>12.003.0023.0695.0113.2119.33.90.39</v>
      </c>
      <c r="S500" s="2" t="str">
        <f ca="1">IFERROR(__xludf.DUMMYFUNCTION("""COMPUTED_VALUE"""),"0000")</f>
        <v>0000</v>
      </c>
      <c r="T500" s="2">
        <f ca="1">IFERROR(__xludf.DUMMYFUNCTION("""COMPUTED_VALUE"""),2024)</f>
        <v>2024</v>
      </c>
      <c r="U500" s="2" t="str">
        <f ca="1">IFERROR(__xludf.DUMMYFUNCTION("""COMPUTED_VALUE"""),"0668")</f>
        <v>0668</v>
      </c>
      <c r="V500" s="2" t="str">
        <f ca="1">IFERROR(__xludf.DUMMYFUNCTION("""COMPUTED_VALUE"""),"10.006.0018.0541.0123.2114.33.90.40")</f>
        <v>10.006.0018.0541.0123.2114.33.90.40</v>
      </c>
      <c r="W500" s="2" t="str">
        <f ca="1">IFERROR(__xludf.DUMMYFUNCTION("""COMPUTED_VALUE"""),"555")</f>
        <v>555</v>
      </c>
      <c r="X500" s="2"/>
      <c r="Y500" s="2"/>
      <c r="Z500" s="2"/>
      <c r="AA500" s="2"/>
      <c r="AB500" s="2"/>
      <c r="AC500" s="2"/>
      <c r="AD500" s="2"/>
      <c r="AE500" s="2"/>
      <c r="AF500" s="2"/>
    </row>
    <row r="501" spans="1:32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>
        <f ca="1">IFERROR(__xludf.DUMMYFUNCTION("""COMPUTED_VALUE"""),2023)</f>
        <v>2023</v>
      </c>
      <c r="Q501" s="2" t="str">
        <f ca="1">IFERROR(__xludf.DUMMYFUNCTION("""COMPUTED_VALUE"""),"0558")</f>
        <v>0558</v>
      </c>
      <c r="R501" s="2" t="str">
        <f ca="1">IFERROR(__xludf.DUMMYFUNCTION("""COMPUTED_VALUE"""),"12.002.0011.0331.0113.2120.33.90.39")</f>
        <v>12.002.0011.0331.0113.2120.33.90.39</v>
      </c>
      <c r="S501" s="2" t="str">
        <f ca="1">IFERROR(__xludf.DUMMYFUNCTION("""COMPUTED_VALUE"""),"0000")</f>
        <v>0000</v>
      </c>
      <c r="T501" s="2">
        <f ca="1">IFERROR(__xludf.DUMMYFUNCTION("""COMPUTED_VALUE"""),2024)</f>
        <v>2024</v>
      </c>
      <c r="U501" s="2" t="str">
        <f ca="1">IFERROR(__xludf.DUMMYFUNCTION("""COMPUTED_VALUE"""),"0669")</f>
        <v>0669</v>
      </c>
      <c r="V501" s="2" t="str">
        <f ca="1">IFERROR(__xludf.DUMMYFUNCTION("""COMPUTED_VALUE"""),"10.007.0018.0541.0123.1042.44.90.30")</f>
        <v>10.007.0018.0541.0123.1042.44.90.30</v>
      </c>
      <c r="W501" s="2" t="str">
        <f ca="1">IFERROR(__xludf.DUMMYFUNCTION("""COMPUTED_VALUE"""),"555")</f>
        <v>555</v>
      </c>
      <c r="X501" s="2"/>
      <c r="Y501" s="2"/>
      <c r="Z501" s="2"/>
      <c r="AA501" s="2"/>
      <c r="AB501" s="2"/>
      <c r="AC501" s="2"/>
      <c r="AD501" s="2"/>
      <c r="AE501" s="2"/>
      <c r="AF501" s="2"/>
    </row>
    <row r="502" spans="1:3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>
        <f ca="1">IFERROR(__xludf.DUMMYFUNCTION("""COMPUTED_VALUE"""),2023)</f>
        <v>2023</v>
      </c>
      <c r="Q502" s="2" t="str">
        <f ca="1">IFERROR(__xludf.DUMMYFUNCTION("""COMPUTED_VALUE"""),"0559")</f>
        <v>0559</v>
      </c>
      <c r="R502" s="2" t="str">
        <f ca="1">IFERROR(__xludf.DUMMYFUNCTION("""COMPUTED_VALUE"""),"12.002.0012.0366.0113.2121.33.90.39")</f>
        <v>12.002.0012.0366.0113.2121.33.90.39</v>
      </c>
      <c r="S502" s="2" t="str">
        <f ca="1">IFERROR(__xludf.DUMMYFUNCTION("""COMPUTED_VALUE"""),"0000")</f>
        <v>0000</v>
      </c>
      <c r="T502" s="2">
        <f ca="1">IFERROR(__xludf.DUMMYFUNCTION("""COMPUTED_VALUE"""),2024)</f>
        <v>2024</v>
      </c>
      <c r="U502" s="2" t="str">
        <f ca="1">IFERROR(__xludf.DUMMYFUNCTION("""COMPUTED_VALUE"""),"0670")</f>
        <v>0670</v>
      </c>
      <c r="V502" s="2" t="str">
        <f ca="1">IFERROR(__xludf.DUMMYFUNCTION("""COMPUTED_VALUE"""),"10.007.0018.0541.0123.1042.44.90.52")</f>
        <v>10.007.0018.0541.0123.1042.44.90.52</v>
      </c>
      <c r="W502" s="2" t="str">
        <f ca="1">IFERROR(__xludf.DUMMYFUNCTION("""COMPUTED_VALUE"""),"555")</f>
        <v>555</v>
      </c>
      <c r="X502" s="2"/>
      <c r="Y502" s="2"/>
      <c r="Z502" s="2"/>
      <c r="AA502" s="2"/>
      <c r="AB502" s="2"/>
      <c r="AC502" s="2"/>
      <c r="AD502" s="2"/>
      <c r="AE502" s="2"/>
      <c r="AF502" s="2"/>
    </row>
    <row r="503" spans="1:32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>
        <f ca="1">IFERROR(__xludf.DUMMYFUNCTION("""COMPUTED_VALUE"""),2023)</f>
        <v>2023</v>
      </c>
      <c r="Q503" s="2" t="str">
        <f ca="1">IFERROR(__xludf.DUMMYFUNCTION("""COMPUTED_VALUE"""),"0560")</f>
        <v>0560</v>
      </c>
      <c r="R503" s="2" t="str">
        <f ca="1">IFERROR(__xludf.DUMMYFUNCTION("""COMPUTED_VALUE"""),"12.005.0020.0605.0113.2122.33.90.39")</f>
        <v>12.005.0020.0605.0113.2122.33.90.39</v>
      </c>
      <c r="S503" s="2" t="str">
        <f ca="1">IFERROR(__xludf.DUMMYFUNCTION("""COMPUTED_VALUE"""),"0000")</f>
        <v>0000</v>
      </c>
      <c r="T503" s="2">
        <f ca="1">IFERROR(__xludf.DUMMYFUNCTION("""COMPUTED_VALUE"""),2024)</f>
        <v>2024</v>
      </c>
      <c r="U503" s="2" t="str">
        <f ca="1">IFERROR(__xludf.DUMMYFUNCTION("""COMPUTED_VALUE"""),"0673")</f>
        <v>0673</v>
      </c>
      <c r="V503" s="2" t="str">
        <f ca="1">IFERROR(__xludf.DUMMYFUNCTION("""COMPUTED_VALUE"""),"10.007.0018.0541.0123.2115.33.90.30")</f>
        <v>10.007.0018.0541.0123.2115.33.90.30</v>
      </c>
      <c r="W503" s="2" t="str">
        <f ca="1">IFERROR(__xludf.DUMMYFUNCTION("""COMPUTED_VALUE"""),"555")</f>
        <v>555</v>
      </c>
      <c r="X503" s="2"/>
      <c r="Y503" s="2"/>
      <c r="Z503" s="2"/>
      <c r="AA503" s="2"/>
      <c r="AB503" s="2"/>
      <c r="AC503" s="2"/>
      <c r="AD503" s="2"/>
      <c r="AE503" s="2"/>
      <c r="AF503" s="2"/>
    </row>
    <row r="504" spans="1:32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>
        <f ca="1">IFERROR(__xludf.DUMMYFUNCTION("""COMPUTED_VALUE"""),2023)</f>
        <v>2023</v>
      </c>
      <c r="Q504" s="2" t="str">
        <f ca="1">IFERROR(__xludf.DUMMYFUNCTION("""COMPUTED_VALUE"""),"0561")</f>
        <v>0561</v>
      </c>
      <c r="R504" s="2" t="str">
        <f ca="1">IFERROR(__xludf.DUMMYFUNCTION("""COMPUTED_VALUE"""),"12.005.0020.0605.0113.2124.33.90.39")</f>
        <v>12.005.0020.0605.0113.2124.33.90.39</v>
      </c>
      <c r="S504" s="2" t="str">
        <f ca="1">IFERROR(__xludf.DUMMYFUNCTION("""COMPUTED_VALUE"""),"0000")</f>
        <v>0000</v>
      </c>
      <c r="T504" s="2">
        <f ca="1">IFERROR(__xludf.DUMMYFUNCTION("""COMPUTED_VALUE"""),2024)</f>
        <v>2024</v>
      </c>
      <c r="U504" s="2" t="str">
        <f ca="1">IFERROR(__xludf.DUMMYFUNCTION("""COMPUTED_VALUE"""),"0674")</f>
        <v>0674</v>
      </c>
      <c r="V504" s="2" t="str">
        <f ca="1">IFERROR(__xludf.DUMMYFUNCTION("""COMPUTED_VALUE"""),"10.007.0018.0541.0123.2115.33.90.39")</f>
        <v>10.007.0018.0541.0123.2115.33.90.39</v>
      </c>
      <c r="W504" s="2" t="str">
        <f ca="1">IFERROR(__xludf.DUMMYFUNCTION("""COMPUTED_VALUE"""),"555")</f>
        <v>555</v>
      </c>
      <c r="X504" s="2"/>
      <c r="Y504" s="2"/>
      <c r="Z504" s="2"/>
      <c r="AA504" s="2"/>
      <c r="AB504" s="2"/>
      <c r="AC504" s="2"/>
      <c r="AD504" s="2"/>
      <c r="AE504" s="2"/>
      <c r="AF504" s="2"/>
    </row>
    <row r="505" spans="1:32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>
        <f ca="1">IFERROR(__xludf.DUMMYFUNCTION("""COMPUTED_VALUE"""),2023)</f>
        <v>2023</v>
      </c>
      <c r="Q505" s="2" t="str">
        <f ca="1">IFERROR(__xludf.DUMMYFUNCTION("""COMPUTED_VALUE"""),"0562")</f>
        <v>0562</v>
      </c>
      <c r="R505" s="2" t="str">
        <f ca="1">IFERROR(__xludf.DUMMYFUNCTION("""COMPUTED_VALUE"""),"12.008.0023.0695.0113.2125.33.90.39")</f>
        <v>12.008.0023.0695.0113.2125.33.90.39</v>
      </c>
      <c r="S505" s="2" t="str">
        <f ca="1">IFERROR(__xludf.DUMMYFUNCTION("""COMPUTED_VALUE"""),"00036")</f>
        <v>00036</v>
      </c>
      <c r="T505" s="2">
        <f ca="1">IFERROR(__xludf.DUMMYFUNCTION("""COMPUTED_VALUE"""),2024)</f>
        <v>2024</v>
      </c>
      <c r="U505" s="2" t="str">
        <f ca="1">IFERROR(__xludf.DUMMYFUNCTION("""COMPUTED_VALUE"""),"0675")</f>
        <v>0675</v>
      </c>
      <c r="V505" s="2" t="str">
        <f ca="1">IFERROR(__xludf.DUMMYFUNCTION("""COMPUTED_VALUE"""),"10.008.0018.0542.0123.2113.33.90.30")</f>
        <v>10.008.0018.0542.0123.2113.33.90.30</v>
      </c>
      <c r="W505" s="2" t="str">
        <f ca="1">IFERROR(__xludf.DUMMYFUNCTION("""COMPUTED_VALUE"""),"555")</f>
        <v>555</v>
      </c>
      <c r="X505" s="2"/>
      <c r="Y505" s="2"/>
      <c r="Z505" s="2"/>
      <c r="AA505" s="2"/>
      <c r="AB505" s="2"/>
      <c r="AC505" s="2"/>
      <c r="AD505" s="2"/>
      <c r="AE505" s="2"/>
      <c r="AF505" s="2"/>
    </row>
    <row r="506" spans="1:32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>
        <f ca="1">IFERROR(__xludf.DUMMYFUNCTION("""COMPUTED_VALUE"""),2023)</f>
        <v>2023</v>
      </c>
      <c r="Q506" s="2" t="str">
        <f ca="1">IFERROR(__xludf.DUMMYFUNCTION("""COMPUTED_VALUE"""),"0563")</f>
        <v>0563</v>
      </c>
      <c r="R506" s="2" t="str">
        <f ca="1">IFERROR(__xludf.DUMMYFUNCTION("""COMPUTED_VALUE"""),"12.004.0023.0691.0113.2126.33.90.39")</f>
        <v>12.004.0023.0691.0113.2126.33.90.39</v>
      </c>
      <c r="S506" s="2" t="str">
        <f ca="1">IFERROR(__xludf.DUMMYFUNCTION("""COMPUTED_VALUE"""),"0000")</f>
        <v>0000</v>
      </c>
      <c r="T506" s="2">
        <f ca="1">IFERROR(__xludf.DUMMYFUNCTION("""COMPUTED_VALUE"""),2024)</f>
        <v>2024</v>
      </c>
      <c r="U506" s="2" t="str">
        <f ca="1">IFERROR(__xludf.DUMMYFUNCTION("""COMPUTED_VALUE"""),"0677")</f>
        <v>0677</v>
      </c>
      <c r="V506" s="2" t="str">
        <f ca="1">IFERROR(__xludf.DUMMYFUNCTION("""COMPUTED_VALUE"""),"10.008.0018.0542.0123.2113.33.90.32")</f>
        <v>10.008.0018.0542.0123.2113.33.90.32</v>
      </c>
      <c r="W506" s="2" t="str">
        <f ca="1">IFERROR(__xludf.DUMMYFUNCTION("""COMPUTED_VALUE"""),"0")</f>
        <v>0</v>
      </c>
      <c r="X506" s="2"/>
      <c r="Y506" s="2"/>
      <c r="Z506" s="2"/>
      <c r="AA506" s="2"/>
      <c r="AB506" s="2"/>
      <c r="AC506" s="2"/>
      <c r="AD506" s="2"/>
      <c r="AE506" s="2"/>
      <c r="AF506" s="2"/>
    </row>
    <row r="507" spans="1:32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>
        <f ca="1">IFERROR(__xludf.DUMMYFUNCTION("""COMPUTED_VALUE"""),2023)</f>
        <v>2023</v>
      </c>
      <c r="Q507" s="2" t="str">
        <f ca="1">IFERROR(__xludf.DUMMYFUNCTION("""COMPUTED_VALUE"""),"0564")</f>
        <v>0564</v>
      </c>
      <c r="R507" s="2" t="str">
        <f ca="1">IFERROR(__xludf.DUMMYFUNCTION("""COMPUTED_VALUE"""),"12.004.0022.0661.0113.2127.33.90.39")</f>
        <v>12.004.0022.0661.0113.2127.33.90.39</v>
      </c>
      <c r="S507" s="2" t="str">
        <f ca="1">IFERROR(__xludf.DUMMYFUNCTION("""COMPUTED_VALUE"""),"0000")</f>
        <v>0000</v>
      </c>
      <c r="T507" s="2">
        <f ca="1">IFERROR(__xludf.DUMMYFUNCTION("""COMPUTED_VALUE"""),2024)</f>
        <v>2024</v>
      </c>
      <c r="U507" s="2" t="str">
        <f ca="1">IFERROR(__xludf.DUMMYFUNCTION("""COMPUTED_VALUE"""),"0678")</f>
        <v>0678</v>
      </c>
      <c r="V507" s="2" t="str">
        <f ca="1">IFERROR(__xludf.DUMMYFUNCTION("""COMPUTED_VALUE"""),"10.008.0018.0542.0123.2113.33.90.37")</f>
        <v>10.008.0018.0542.0123.2113.33.90.37</v>
      </c>
      <c r="W507" s="2" t="str">
        <f ca="1">IFERROR(__xludf.DUMMYFUNCTION("""COMPUTED_VALUE"""),"0")</f>
        <v>0</v>
      </c>
      <c r="X507" s="2"/>
      <c r="Y507" s="2"/>
      <c r="Z507" s="2"/>
      <c r="AA507" s="2"/>
      <c r="AB507" s="2"/>
      <c r="AC507" s="2"/>
      <c r="AD507" s="2"/>
      <c r="AE507" s="2"/>
      <c r="AF507" s="2"/>
    </row>
    <row r="508" spans="1:32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>
        <f ca="1">IFERROR(__xludf.DUMMYFUNCTION("""COMPUTED_VALUE"""),2023)</f>
        <v>2023</v>
      </c>
      <c r="Q508" s="2" t="str">
        <f ca="1">IFERROR(__xludf.DUMMYFUNCTION("""COMPUTED_VALUE"""),"0565")</f>
        <v>0565</v>
      </c>
      <c r="R508" s="2" t="str">
        <f ca="1">IFERROR(__xludf.DUMMYFUNCTION("""COMPUTED_VALUE"""),"12.004.0023.0691.0113.2128.33.90.39")</f>
        <v>12.004.0023.0691.0113.2128.33.90.39</v>
      </c>
      <c r="S508" s="2" t="str">
        <f ca="1">IFERROR(__xludf.DUMMYFUNCTION("""COMPUTED_VALUE"""),"0000")</f>
        <v>0000</v>
      </c>
      <c r="T508" s="2">
        <f ca="1">IFERROR(__xludf.DUMMYFUNCTION("""COMPUTED_VALUE"""),2024)</f>
        <v>2024</v>
      </c>
      <c r="U508" s="2" t="str">
        <f ca="1">IFERROR(__xludf.DUMMYFUNCTION("""COMPUTED_VALUE"""),"0679")</f>
        <v>0679</v>
      </c>
      <c r="V508" s="2" t="str">
        <f ca="1">IFERROR(__xludf.DUMMYFUNCTION("""COMPUTED_VALUE"""),"10.008.0018.0542.0123.2113.33.90.39")</f>
        <v>10.008.0018.0542.0123.2113.33.90.39</v>
      </c>
      <c r="W508" s="2" t="str">
        <f ca="1">IFERROR(__xludf.DUMMYFUNCTION("""COMPUTED_VALUE"""),"0")</f>
        <v>0</v>
      </c>
      <c r="X508" s="2"/>
      <c r="Y508" s="2"/>
      <c r="Z508" s="2"/>
      <c r="AA508" s="2"/>
      <c r="AB508" s="2"/>
      <c r="AC508" s="2"/>
      <c r="AD508" s="2"/>
      <c r="AE508" s="2"/>
      <c r="AF508" s="2"/>
    </row>
    <row r="509" spans="1:32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>
        <f ca="1">IFERROR(__xludf.DUMMYFUNCTION("""COMPUTED_VALUE"""),2023)</f>
        <v>2023</v>
      </c>
      <c r="Q509" s="2" t="str">
        <f ca="1">IFERROR(__xludf.DUMMYFUNCTION("""COMPUTED_VALUE"""),"0566")</f>
        <v>0566</v>
      </c>
      <c r="R509" s="2" t="str">
        <f ca="1">IFERROR(__xludf.DUMMYFUNCTION("""COMPUTED_VALUE"""),"12.001.0004.0122.0113.2129.33.90.39")</f>
        <v>12.001.0004.0122.0113.2129.33.90.39</v>
      </c>
      <c r="S509" s="2" t="str">
        <f ca="1">IFERROR(__xludf.DUMMYFUNCTION("""COMPUTED_VALUE"""),"0000")</f>
        <v>0000</v>
      </c>
      <c r="T509" s="2">
        <f ca="1">IFERROR(__xludf.DUMMYFUNCTION("""COMPUTED_VALUE"""),2024)</f>
        <v>2024</v>
      </c>
      <c r="U509" s="2" t="str">
        <f ca="1">IFERROR(__xludf.DUMMYFUNCTION("""COMPUTED_VALUE"""),"0680")</f>
        <v>0680</v>
      </c>
      <c r="V509" s="2" t="str">
        <f ca="1">IFERROR(__xludf.DUMMYFUNCTION("""COMPUTED_VALUE"""),"11.002.0013.0243.0082.6003.33.90.30")</f>
        <v>11.002.0013.0243.0082.6003.33.90.30</v>
      </c>
      <c r="W509" s="2" t="str">
        <f ca="1">IFERROR(__xludf.DUMMYFUNCTION("""COMPUTED_VALUE"""),"0")</f>
        <v>0</v>
      </c>
      <c r="X509" s="2"/>
      <c r="Y509" s="2"/>
      <c r="Z509" s="2"/>
      <c r="AA509" s="2"/>
      <c r="AB509" s="2"/>
      <c r="AC509" s="2"/>
      <c r="AD509" s="2"/>
      <c r="AE509" s="2"/>
      <c r="AF509" s="2"/>
    </row>
    <row r="510" spans="1:32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>
        <f ca="1">IFERROR(__xludf.DUMMYFUNCTION("""COMPUTED_VALUE"""),2023)</f>
        <v>2023</v>
      </c>
      <c r="Q510" s="2" t="str">
        <f ca="1">IFERROR(__xludf.DUMMYFUNCTION("""COMPUTED_VALUE"""),"0567")</f>
        <v>0567</v>
      </c>
      <c r="R510" s="2" t="str">
        <f ca="1">IFERROR(__xludf.DUMMYFUNCTION("""COMPUTED_VALUE"""),"12.005.0020.0605.0113.2130.33.90.39")</f>
        <v>12.005.0020.0605.0113.2130.33.90.39</v>
      </c>
      <c r="S510" s="2" t="str">
        <f ca="1">IFERROR(__xludf.DUMMYFUNCTION("""COMPUTED_VALUE"""),"05107")</f>
        <v>05107</v>
      </c>
      <c r="T510" s="2">
        <f ca="1">IFERROR(__xludf.DUMMYFUNCTION("""COMPUTED_VALUE"""),2024)</f>
        <v>2024</v>
      </c>
      <c r="U510" s="2" t="str">
        <f ca="1">IFERROR(__xludf.DUMMYFUNCTION("""COMPUTED_VALUE"""),"0681")</f>
        <v>0681</v>
      </c>
      <c r="V510" s="2" t="str">
        <f ca="1">IFERROR(__xludf.DUMMYFUNCTION("""COMPUTED_VALUE"""),"11.002.0013.0243.0082.6003.33.90.39")</f>
        <v>11.002.0013.0243.0082.6003.33.90.39</v>
      </c>
      <c r="W510" s="2" t="str">
        <f ca="1">IFERROR(__xludf.DUMMYFUNCTION("""COMPUTED_VALUE"""),"0")</f>
        <v>0</v>
      </c>
      <c r="X510" s="2"/>
      <c r="Y510" s="2"/>
      <c r="Z510" s="2"/>
      <c r="AA510" s="2"/>
      <c r="AB510" s="2"/>
      <c r="AC510" s="2"/>
      <c r="AD510" s="2"/>
      <c r="AE510" s="2"/>
      <c r="AF510" s="2"/>
    </row>
    <row r="511" spans="1:32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>
        <f ca="1">IFERROR(__xludf.DUMMYFUNCTION("""COMPUTED_VALUE"""),2023)</f>
        <v>2023</v>
      </c>
      <c r="Q511" s="2" t="str">
        <f ca="1">IFERROR(__xludf.DUMMYFUNCTION("""COMPUTED_VALUE"""),"0568")</f>
        <v>0568</v>
      </c>
      <c r="R511" s="2" t="str">
        <f ca="1">IFERROR(__xludf.DUMMYFUNCTION("""COMPUTED_VALUE"""),"12.009.0011.0334.0113.2139.33.90.39")</f>
        <v>12.009.0011.0334.0113.2139.33.90.39</v>
      </c>
      <c r="S511" s="2" t="str">
        <f ca="1">IFERROR(__xludf.DUMMYFUNCTION("""COMPUTED_VALUE"""),"0000")</f>
        <v>0000</v>
      </c>
      <c r="T511" s="2">
        <f ca="1">IFERROR(__xludf.DUMMYFUNCTION("""COMPUTED_VALUE"""),2024)</f>
        <v>2024</v>
      </c>
      <c r="U511" s="2" t="str">
        <f ca="1">IFERROR(__xludf.DUMMYFUNCTION("""COMPUTED_VALUE"""),"0683")</f>
        <v>0683</v>
      </c>
      <c r="V511" s="2" t="str">
        <f ca="1">IFERROR(__xludf.DUMMYFUNCTION("""COMPUTED_VALUE"""),"11.002.0013.0391.0082.2011.33.90.30")</f>
        <v>11.002.0013.0391.0082.2011.33.90.30</v>
      </c>
      <c r="W511" s="2" t="str">
        <f ca="1">IFERROR(__xludf.DUMMYFUNCTION("""COMPUTED_VALUE"""),"0")</f>
        <v>0</v>
      </c>
      <c r="X511" s="2"/>
      <c r="Y511" s="2"/>
      <c r="Z511" s="2"/>
      <c r="AA511" s="2"/>
      <c r="AB511" s="2"/>
      <c r="AC511" s="2"/>
      <c r="AD511" s="2"/>
      <c r="AE511" s="2"/>
      <c r="AF511" s="2"/>
    </row>
    <row r="512" spans="1:3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>
        <f ca="1">IFERROR(__xludf.DUMMYFUNCTION("""COMPUTED_VALUE"""),2023)</f>
        <v>2023</v>
      </c>
      <c r="Q512" s="2" t="str">
        <f ca="1">IFERROR(__xludf.DUMMYFUNCTION("""COMPUTED_VALUE"""),"0569")</f>
        <v>0569</v>
      </c>
      <c r="R512" s="2" t="str">
        <f ca="1">IFERROR(__xludf.DUMMYFUNCTION("""COMPUTED_VALUE"""),"12.004.0023.0691.0113.2140.33.90.39")</f>
        <v>12.004.0023.0691.0113.2140.33.90.39</v>
      </c>
      <c r="S512" s="2" t="str">
        <f ca="1">IFERROR(__xludf.DUMMYFUNCTION("""COMPUTED_VALUE"""),"0000")</f>
        <v>0000</v>
      </c>
      <c r="T512" s="2">
        <f ca="1">IFERROR(__xludf.DUMMYFUNCTION("""COMPUTED_VALUE"""),2024)</f>
        <v>2024</v>
      </c>
      <c r="U512" s="2" t="str">
        <f ca="1">IFERROR(__xludf.DUMMYFUNCTION("""COMPUTED_VALUE"""),"0684")</f>
        <v>0684</v>
      </c>
      <c r="V512" s="2" t="str">
        <f ca="1">IFERROR(__xludf.DUMMYFUNCTION("""COMPUTED_VALUE"""),"11.002.0013.0391.0082.2011.33.90.39")</f>
        <v>11.002.0013.0391.0082.2011.33.90.39</v>
      </c>
      <c r="W512" s="2" t="str">
        <f ca="1">IFERROR(__xludf.DUMMYFUNCTION("""COMPUTED_VALUE"""),"0")</f>
        <v>0</v>
      </c>
      <c r="X512" s="2"/>
      <c r="Y512" s="2"/>
      <c r="Z512" s="2"/>
      <c r="AA512" s="2"/>
      <c r="AB512" s="2"/>
      <c r="AC512" s="2"/>
      <c r="AD512" s="2"/>
      <c r="AE512" s="2"/>
      <c r="AF512" s="2"/>
    </row>
    <row r="513" spans="1:32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>
        <f ca="1">IFERROR(__xludf.DUMMYFUNCTION("""COMPUTED_VALUE"""),2023)</f>
        <v>2023</v>
      </c>
      <c r="Q513" s="2" t="str">
        <f ca="1">IFERROR(__xludf.DUMMYFUNCTION("""COMPUTED_VALUE"""),"0570")</f>
        <v>0570</v>
      </c>
      <c r="R513" s="2" t="str">
        <f ca="1">IFERROR(__xludf.DUMMYFUNCTION("""COMPUTED_VALUE"""),"08.001.0008.0244.0118.2029.33.90.39")</f>
        <v>08.001.0008.0244.0118.2029.33.90.39</v>
      </c>
      <c r="S513" s="2" t="str">
        <f ca="1">IFERROR(__xludf.DUMMYFUNCTION("""COMPUTED_VALUE"""),"0000")</f>
        <v>0000</v>
      </c>
      <c r="T513" s="2">
        <f ca="1">IFERROR(__xludf.DUMMYFUNCTION("""COMPUTED_VALUE"""),2024)</f>
        <v>2024</v>
      </c>
      <c r="U513" s="2" t="str">
        <f ca="1">IFERROR(__xludf.DUMMYFUNCTION("""COMPUTED_VALUE"""),"0685")</f>
        <v>0685</v>
      </c>
      <c r="V513" s="2" t="str">
        <f ca="1">IFERROR(__xludf.DUMMYFUNCTION("""COMPUTED_VALUE"""),"11.002.0013.0392.0082.1003.44.90.30")</f>
        <v>11.002.0013.0392.0082.1003.44.90.30</v>
      </c>
      <c r="W513" s="2" t="str">
        <f ca="1">IFERROR(__xludf.DUMMYFUNCTION("""COMPUTED_VALUE"""),"0")</f>
        <v>0</v>
      </c>
      <c r="X513" s="2"/>
      <c r="Y513" s="2"/>
      <c r="Z513" s="2"/>
      <c r="AA513" s="2"/>
      <c r="AB513" s="2"/>
      <c r="AC513" s="2"/>
      <c r="AD513" s="2"/>
      <c r="AE513" s="2"/>
      <c r="AF513" s="2"/>
    </row>
    <row r="514" spans="1:32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>
        <f ca="1">IFERROR(__xludf.DUMMYFUNCTION("""COMPUTED_VALUE"""),2023)</f>
        <v>2023</v>
      </c>
      <c r="Q514" s="2" t="str">
        <f ca="1">IFERROR(__xludf.DUMMYFUNCTION("""COMPUTED_VALUE"""),"0571")</f>
        <v>0571</v>
      </c>
      <c r="R514" s="2" t="str">
        <f ca="1">IFERROR(__xludf.DUMMYFUNCTION("""COMPUTED_VALUE"""),"08.003.0008.0244.0118.2030.33.90.39")</f>
        <v>08.003.0008.0244.0118.2030.33.90.39</v>
      </c>
      <c r="S514" s="2" t="str">
        <f ca="1">IFERROR(__xludf.DUMMYFUNCTION("""COMPUTED_VALUE"""),"0000")</f>
        <v>0000</v>
      </c>
      <c r="T514" s="2">
        <f ca="1">IFERROR(__xludf.DUMMYFUNCTION("""COMPUTED_VALUE"""),2024)</f>
        <v>2024</v>
      </c>
      <c r="U514" s="2" t="str">
        <f ca="1">IFERROR(__xludf.DUMMYFUNCTION("""COMPUTED_VALUE"""),"0686")</f>
        <v>0686</v>
      </c>
      <c r="V514" s="2" t="str">
        <f ca="1">IFERROR(__xludf.DUMMYFUNCTION("""COMPUTED_VALUE"""),"11.002.0013.0392.0082.1003.44.90.52")</f>
        <v>11.002.0013.0392.0082.1003.44.90.52</v>
      </c>
      <c r="W514" s="2" t="str">
        <f ca="1">IFERROR(__xludf.DUMMYFUNCTION("""COMPUTED_VALUE"""),"0")</f>
        <v>0</v>
      </c>
      <c r="X514" s="2"/>
      <c r="Y514" s="2"/>
      <c r="Z514" s="2"/>
      <c r="AA514" s="2"/>
      <c r="AB514" s="2"/>
      <c r="AC514" s="2"/>
      <c r="AD514" s="2"/>
      <c r="AE514" s="2"/>
      <c r="AF514" s="2"/>
    </row>
    <row r="515" spans="1:32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>
        <f ca="1">IFERROR(__xludf.DUMMYFUNCTION("""COMPUTED_VALUE"""),2023)</f>
        <v>2023</v>
      </c>
      <c r="Q515" s="2" t="str">
        <f ca="1">IFERROR(__xludf.DUMMYFUNCTION("""COMPUTED_VALUE"""),"0572")</f>
        <v>0572</v>
      </c>
      <c r="R515" s="2" t="str">
        <f ca="1">IFERROR(__xludf.DUMMYFUNCTION("""COMPUTED_VALUE"""),"08.003.0008.0244.0118.2030.33.90.39")</f>
        <v>08.003.0008.0244.0118.2030.33.90.39</v>
      </c>
      <c r="S515" s="2" t="str">
        <f ca="1">IFERROR(__xludf.DUMMYFUNCTION("""COMPUTED_VALUE"""),"00035")</f>
        <v>00035</v>
      </c>
      <c r="T515" s="2">
        <f ca="1">IFERROR(__xludf.DUMMYFUNCTION("""COMPUTED_VALUE"""),2024)</f>
        <v>2024</v>
      </c>
      <c r="U515" s="2" t="str">
        <f ca="1">IFERROR(__xludf.DUMMYFUNCTION("""COMPUTED_VALUE"""),"0688")</f>
        <v>0688</v>
      </c>
      <c r="V515" s="2" t="str">
        <f ca="1">IFERROR(__xludf.DUMMYFUNCTION("""COMPUTED_VALUE"""),"11.002.0013.0392.0082.2009.31.90.13")</f>
        <v>11.002.0013.0392.0082.2009.31.90.13</v>
      </c>
      <c r="W515" s="2" t="str">
        <f ca="1">IFERROR(__xludf.DUMMYFUNCTION("""COMPUTED_VALUE"""),"0")</f>
        <v>0</v>
      </c>
      <c r="X515" s="2"/>
      <c r="Y515" s="2"/>
      <c r="Z515" s="2"/>
      <c r="AA515" s="2"/>
      <c r="AB515" s="2"/>
      <c r="AC515" s="2"/>
      <c r="AD515" s="2"/>
      <c r="AE515" s="2"/>
      <c r="AF515" s="2"/>
    </row>
    <row r="516" spans="1:32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>
        <f ca="1">IFERROR(__xludf.DUMMYFUNCTION("""COMPUTED_VALUE"""),2023)</f>
        <v>2023</v>
      </c>
      <c r="Q516" s="2" t="str">
        <f ca="1">IFERROR(__xludf.DUMMYFUNCTION("""COMPUTED_VALUE"""),"0573")</f>
        <v>0573</v>
      </c>
      <c r="R516" s="2" t="str">
        <f ca="1">IFERROR(__xludf.DUMMYFUNCTION("""COMPUTED_VALUE"""),"08.003.0008.0244.0118.2030.33.90.39")</f>
        <v>08.003.0008.0244.0118.2030.33.90.39</v>
      </c>
      <c r="S516" s="2" t="str">
        <f ca="1">IFERROR(__xludf.DUMMYFUNCTION("""COMPUTED_VALUE"""),"00934")</f>
        <v>00934</v>
      </c>
      <c r="T516" s="2">
        <f ca="1">IFERROR(__xludf.DUMMYFUNCTION("""COMPUTED_VALUE"""),2024)</f>
        <v>2024</v>
      </c>
      <c r="U516" s="2" t="str">
        <f ca="1">IFERROR(__xludf.DUMMYFUNCTION("""COMPUTED_VALUE"""),"0689")</f>
        <v>0689</v>
      </c>
      <c r="V516" s="2" t="str">
        <f ca="1">IFERROR(__xludf.DUMMYFUNCTION("""COMPUTED_VALUE"""),"11.002.0013.0392.0082.2009.33.90.14")</f>
        <v>11.002.0013.0392.0082.2009.33.90.14</v>
      </c>
      <c r="W516" s="2" t="str">
        <f ca="1">IFERROR(__xludf.DUMMYFUNCTION("""COMPUTED_VALUE"""),"0")</f>
        <v>0</v>
      </c>
      <c r="X516" s="2"/>
      <c r="Y516" s="2"/>
      <c r="Z516" s="2"/>
      <c r="AA516" s="2"/>
      <c r="AB516" s="2"/>
      <c r="AC516" s="2"/>
      <c r="AD516" s="2"/>
      <c r="AE516" s="2"/>
      <c r="AF516" s="2"/>
    </row>
    <row r="517" spans="1:32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>
        <f ca="1">IFERROR(__xludf.DUMMYFUNCTION("""COMPUTED_VALUE"""),2023)</f>
        <v>2023</v>
      </c>
      <c r="Q517" s="2" t="str">
        <f ca="1">IFERROR(__xludf.DUMMYFUNCTION("""COMPUTED_VALUE"""),"0575")</f>
        <v>0575</v>
      </c>
      <c r="R517" s="2" t="str">
        <f ca="1">IFERROR(__xludf.DUMMYFUNCTION("""COMPUTED_VALUE"""),"08.003.0008.0244.0118.2030.33.90.39")</f>
        <v>08.003.0008.0244.0118.2030.33.90.39</v>
      </c>
      <c r="S517" s="2" t="str">
        <f ca="1">IFERROR(__xludf.DUMMYFUNCTION("""COMPUTED_VALUE"""),"00940")</f>
        <v>00940</v>
      </c>
      <c r="T517" s="2">
        <f ca="1">IFERROR(__xludf.DUMMYFUNCTION("""COMPUTED_VALUE"""),2024)</f>
        <v>2024</v>
      </c>
      <c r="U517" s="2" t="str">
        <f ca="1">IFERROR(__xludf.DUMMYFUNCTION("""COMPUTED_VALUE"""),"0690")</f>
        <v>0690</v>
      </c>
      <c r="V517" s="2" t="str">
        <f ca="1">IFERROR(__xludf.DUMMYFUNCTION("""COMPUTED_VALUE"""),"11.002.0013.0392.0082.2009.33.90.30")</f>
        <v>11.002.0013.0392.0082.2009.33.90.30</v>
      </c>
      <c r="W517" s="2" t="str">
        <f ca="1">IFERROR(__xludf.DUMMYFUNCTION("""COMPUTED_VALUE"""),"0")</f>
        <v>0</v>
      </c>
      <c r="X517" s="2"/>
      <c r="Y517" s="2"/>
      <c r="Z517" s="2"/>
      <c r="AA517" s="2"/>
      <c r="AB517" s="2"/>
      <c r="AC517" s="2"/>
      <c r="AD517" s="2"/>
      <c r="AE517" s="2"/>
      <c r="AF517" s="2"/>
    </row>
    <row r="518" spans="1:32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>
        <f ca="1">IFERROR(__xludf.DUMMYFUNCTION("""COMPUTED_VALUE"""),2023)</f>
        <v>2023</v>
      </c>
      <c r="Q518" s="2" t="str">
        <f ca="1">IFERROR(__xludf.DUMMYFUNCTION("""COMPUTED_VALUE"""),"0576")</f>
        <v>0576</v>
      </c>
      <c r="R518" s="2" t="str">
        <f ca="1">IFERROR(__xludf.DUMMYFUNCTION("""COMPUTED_VALUE"""),"08.003.0008.0244.0118.2030.33.90.39")</f>
        <v>08.003.0008.0244.0118.2030.33.90.39</v>
      </c>
      <c r="S518" s="2" t="str">
        <f ca="1">IFERROR(__xludf.DUMMYFUNCTION("""COMPUTED_VALUE"""),"00941")</f>
        <v>00941</v>
      </c>
      <c r="T518" s="2">
        <f ca="1">IFERROR(__xludf.DUMMYFUNCTION("""COMPUTED_VALUE"""),2024)</f>
        <v>2024</v>
      </c>
      <c r="U518" s="2" t="str">
        <f ca="1">IFERROR(__xludf.DUMMYFUNCTION("""COMPUTED_VALUE"""),"0691")</f>
        <v>0691</v>
      </c>
      <c r="V518" s="2" t="str">
        <f ca="1">IFERROR(__xludf.DUMMYFUNCTION("""COMPUTED_VALUE"""),"11.002.0013.0392.0082.2009.33.90.33")</f>
        <v>11.002.0013.0392.0082.2009.33.90.33</v>
      </c>
      <c r="W518" s="2" t="str">
        <f ca="1">IFERROR(__xludf.DUMMYFUNCTION("""COMPUTED_VALUE"""),"0")</f>
        <v>0</v>
      </c>
      <c r="X518" s="2"/>
      <c r="Y518" s="2"/>
      <c r="Z518" s="2"/>
      <c r="AA518" s="2"/>
      <c r="AB518" s="2"/>
      <c r="AC518" s="2"/>
      <c r="AD518" s="2"/>
      <c r="AE518" s="2"/>
      <c r="AF518" s="2"/>
    </row>
    <row r="519" spans="1:32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>
        <f ca="1">IFERROR(__xludf.DUMMYFUNCTION("""COMPUTED_VALUE"""),2023)</f>
        <v>2023</v>
      </c>
      <c r="Q519" s="2" t="str">
        <f ca="1">IFERROR(__xludf.DUMMYFUNCTION("""COMPUTED_VALUE"""),"0577")</f>
        <v>0577</v>
      </c>
      <c r="R519" s="2" t="str">
        <f ca="1">IFERROR(__xludf.DUMMYFUNCTION("""COMPUTED_VALUE"""),"08.003.0008.0244.0118.2030.33.90.39")</f>
        <v>08.003.0008.0244.0118.2030.33.90.39</v>
      </c>
      <c r="S519" s="2" t="str">
        <f ca="1">IFERROR(__xludf.DUMMYFUNCTION("""COMPUTED_VALUE"""),"09381")</f>
        <v>09381</v>
      </c>
      <c r="T519" s="2">
        <f ca="1">IFERROR(__xludf.DUMMYFUNCTION("""COMPUTED_VALUE"""),2024)</f>
        <v>2024</v>
      </c>
      <c r="U519" s="2" t="str">
        <f ca="1">IFERROR(__xludf.DUMMYFUNCTION("""COMPUTED_VALUE"""),"0692")</f>
        <v>0692</v>
      </c>
      <c r="V519" s="2" t="str">
        <f ca="1">IFERROR(__xludf.DUMMYFUNCTION("""COMPUTED_VALUE"""),"11.002.0013.0392.0082.2009.33.90.39")</f>
        <v>11.002.0013.0392.0082.2009.33.90.39</v>
      </c>
      <c r="W519" s="2" t="str">
        <f ca="1">IFERROR(__xludf.DUMMYFUNCTION("""COMPUTED_VALUE"""),"0")</f>
        <v>0</v>
      </c>
      <c r="X519" s="2"/>
      <c r="Y519" s="2"/>
      <c r="Z519" s="2"/>
      <c r="AA519" s="2"/>
      <c r="AB519" s="2"/>
      <c r="AC519" s="2"/>
      <c r="AD519" s="2"/>
      <c r="AE519" s="2"/>
      <c r="AF519" s="2"/>
    </row>
    <row r="520" spans="1:32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>
        <f ca="1">IFERROR(__xludf.DUMMYFUNCTION("""COMPUTED_VALUE"""),2023)</f>
        <v>2023</v>
      </c>
      <c r="Q520" s="2" t="str">
        <f ca="1">IFERROR(__xludf.DUMMYFUNCTION("""COMPUTED_VALUE"""),"0578")</f>
        <v>0578</v>
      </c>
      <c r="R520" s="2" t="str">
        <f ca="1">IFERROR(__xludf.DUMMYFUNCTION("""COMPUTED_VALUE"""),"08.003.0008.0244.0118.2030.33.90.39")</f>
        <v>08.003.0008.0244.0118.2030.33.90.39</v>
      </c>
      <c r="S520" s="2" t="str">
        <f ca="1">IFERROR(__xludf.DUMMYFUNCTION("""COMPUTED_VALUE"""),"09391")</f>
        <v>09391</v>
      </c>
      <c r="T520" s="2">
        <f ca="1">IFERROR(__xludf.DUMMYFUNCTION("""COMPUTED_VALUE"""),2024)</f>
        <v>2024</v>
      </c>
      <c r="U520" s="2" t="str">
        <f ca="1">IFERROR(__xludf.DUMMYFUNCTION("""COMPUTED_VALUE"""),"0693")</f>
        <v>0693</v>
      </c>
      <c r="V520" s="2" t="str">
        <f ca="1">IFERROR(__xludf.DUMMYFUNCTION("""COMPUTED_VALUE"""),"11.002.0013.0392.0082.2010.33.90.30")</f>
        <v>11.002.0013.0392.0082.2010.33.90.30</v>
      </c>
      <c r="W520" s="2" t="str">
        <f ca="1">IFERROR(__xludf.DUMMYFUNCTION("""COMPUTED_VALUE"""),"0")</f>
        <v>0</v>
      </c>
      <c r="X520" s="2"/>
      <c r="Y520" s="2"/>
      <c r="Z520" s="2"/>
      <c r="AA520" s="2"/>
      <c r="AB520" s="2"/>
      <c r="AC520" s="2"/>
      <c r="AD520" s="2"/>
      <c r="AE520" s="2"/>
      <c r="AF520" s="2"/>
    </row>
    <row r="521" spans="1:32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>
        <f ca="1">IFERROR(__xludf.DUMMYFUNCTION("""COMPUTED_VALUE"""),2023)</f>
        <v>2023</v>
      </c>
      <c r="Q521" s="2" t="str">
        <f ca="1">IFERROR(__xludf.DUMMYFUNCTION("""COMPUTED_VALUE"""),"0579")</f>
        <v>0579</v>
      </c>
      <c r="R521" s="2" t="str">
        <f ca="1">IFERROR(__xludf.DUMMYFUNCTION("""COMPUTED_VALUE"""),"08.007.0008.0241.0118.2031.33.90.39")</f>
        <v>08.007.0008.0241.0118.2031.33.90.39</v>
      </c>
      <c r="S521" s="2" t="str">
        <f ca="1">IFERROR(__xludf.DUMMYFUNCTION("""COMPUTED_VALUE"""),"0000")</f>
        <v>0000</v>
      </c>
      <c r="T521" s="2">
        <f ca="1">IFERROR(__xludf.DUMMYFUNCTION("""COMPUTED_VALUE"""),2024)</f>
        <v>2024</v>
      </c>
      <c r="U521" s="2" t="str">
        <f ca="1">IFERROR(__xludf.DUMMYFUNCTION("""COMPUTED_VALUE"""),"0694")</f>
        <v>0694</v>
      </c>
      <c r="V521" s="2" t="str">
        <f ca="1">IFERROR(__xludf.DUMMYFUNCTION("""COMPUTED_VALUE"""),"11.002.0013.0392.0082.2010.33.90.31")</f>
        <v>11.002.0013.0392.0082.2010.33.90.31</v>
      </c>
      <c r="W521" s="2" t="str">
        <f ca="1">IFERROR(__xludf.DUMMYFUNCTION("""COMPUTED_VALUE"""),"0")</f>
        <v>0</v>
      </c>
      <c r="X521" s="2"/>
      <c r="Y521" s="2"/>
      <c r="Z521" s="2"/>
      <c r="AA521" s="2"/>
      <c r="AB521" s="2"/>
      <c r="AC521" s="2"/>
      <c r="AD521" s="2"/>
      <c r="AE521" s="2"/>
      <c r="AF521" s="2"/>
    </row>
    <row r="522" spans="1:3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>
        <f ca="1">IFERROR(__xludf.DUMMYFUNCTION("""COMPUTED_VALUE"""),2023)</f>
        <v>2023</v>
      </c>
      <c r="Q522" s="2" t="str">
        <f ca="1">IFERROR(__xludf.DUMMYFUNCTION("""COMPUTED_VALUE"""),"0580")</f>
        <v>0580</v>
      </c>
      <c r="R522" s="2" t="str">
        <f ca="1">IFERROR(__xludf.DUMMYFUNCTION("""COMPUTED_VALUE"""),"08.007.0008.0241.0118.2031.33.90.39")</f>
        <v>08.007.0008.0241.0118.2031.33.90.39</v>
      </c>
      <c r="S522" s="2" t="str">
        <f ca="1">IFERROR(__xludf.DUMMYFUNCTION("""COMPUTED_VALUE"""),"00901")</f>
        <v>00901</v>
      </c>
      <c r="T522" s="2">
        <f ca="1">IFERROR(__xludf.DUMMYFUNCTION("""COMPUTED_VALUE"""),2024)</f>
        <v>2024</v>
      </c>
      <c r="U522" s="2" t="str">
        <f ca="1">IFERROR(__xludf.DUMMYFUNCTION("""COMPUTED_VALUE"""),"0695")</f>
        <v>0695</v>
      </c>
      <c r="V522" s="2" t="str">
        <f ca="1">IFERROR(__xludf.DUMMYFUNCTION("""COMPUTED_VALUE"""),"11.002.0013.0392.0082.2010.33.90.32")</f>
        <v>11.002.0013.0392.0082.2010.33.90.32</v>
      </c>
      <c r="W522" s="2" t="str">
        <f ca="1">IFERROR(__xludf.DUMMYFUNCTION("""COMPUTED_VALUE"""),"0")</f>
        <v>0</v>
      </c>
      <c r="X522" s="2"/>
      <c r="Y522" s="2"/>
      <c r="Z522" s="2"/>
      <c r="AA522" s="2"/>
      <c r="AB522" s="2"/>
      <c r="AC522" s="2"/>
      <c r="AD522" s="2"/>
      <c r="AE522" s="2"/>
      <c r="AF522" s="2"/>
    </row>
    <row r="523" spans="1:32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>
        <f ca="1">IFERROR(__xludf.DUMMYFUNCTION("""COMPUTED_VALUE"""),2023)</f>
        <v>2023</v>
      </c>
      <c r="Q523" s="2" t="str">
        <f ca="1">IFERROR(__xludf.DUMMYFUNCTION("""COMPUTED_VALUE"""),"0581")</f>
        <v>0581</v>
      </c>
      <c r="R523" s="2" t="str">
        <f ca="1">IFERROR(__xludf.DUMMYFUNCTION("""COMPUTED_VALUE"""),"08.003.0008.0244.0118.2032.33.90.39")</f>
        <v>08.003.0008.0244.0118.2032.33.90.39</v>
      </c>
      <c r="S523" s="2" t="str">
        <f ca="1">IFERROR(__xludf.DUMMYFUNCTION("""COMPUTED_VALUE"""),"0000")</f>
        <v>0000</v>
      </c>
      <c r="T523" s="2">
        <f ca="1">IFERROR(__xludf.DUMMYFUNCTION("""COMPUTED_VALUE"""),2024)</f>
        <v>2024</v>
      </c>
      <c r="U523" s="2" t="str">
        <f ca="1">IFERROR(__xludf.DUMMYFUNCTION("""COMPUTED_VALUE"""),"0696")</f>
        <v>0696</v>
      </c>
      <c r="V523" s="2" t="str">
        <f ca="1">IFERROR(__xludf.DUMMYFUNCTION("""COMPUTED_VALUE"""),"11.002.0013.0392.0082.2010.33.90.36")</f>
        <v>11.002.0013.0392.0082.2010.33.90.36</v>
      </c>
      <c r="W523" s="2" t="str">
        <f ca="1">IFERROR(__xludf.DUMMYFUNCTION("""COMPUTED_VALUE"""),"0")</f>
        <v>0</v>
      </c>
      <c r="X523" s="2"/>
      <c r="Y523" s="2"/>
      <c r="Z523" s="2"/>
      <c r="AA523" s="2"/>
      <c r="AB523" s="2"/>
      <c r="AC523" s="2"/>
      <c r="AD523" s="2"/>
      <c r="AE523" s="2"/>
      <c r="AF523" s="2"/>
    </row>
    <row r="524" spans="1:32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>
        <f ca="1">IFERROR(__xludf.DUMMYFUNCTION("""COMPUTED_VALUE"""),2023)</f>
        <v>2023</v>
      </c>
      <c r="Q524" s="2" t="str">
        <f ca="1">IFERROR(__xludf.DUMMYFUNCTION("""COMPUTED_VALUE"""),"0582")</f>
        <v>0582</v>
      </c>
      <c r="R524" s="2" t="str">
        <f ca="1">IFERROR(__xludf.DUMMYFUNCTION("""COMPUTED_VALUE"""),"08.003.0008.0243.0118.6000.33.90.39")</f>
        <v>08.003.0008.0243.0118.6000.33.90.39</v>
      </c>
      <c r="S524" s="2" t="str">
        <f ca="1">IFERROR(__xludf.DUMMYFUNCTION("""COMPUTED_VALUE"""),"0000")</f>
        <v>0000</v>
      </c>
      <c r="T524" s="2">
        <f ca="1">IFERROR(__xludf.DUMMYFUNCTION("""COMPUTED_VALUE"""),2024)</f>
        <v>2024</v>
      </c>
      <c r="U524" s="2" t="str">
        <f ca="1">IFERROR(__xludf.DUMMYFUNCTION("""COMPUTED_VALUE"""),"0697")</f>
        <v>0697</v>
      </c>
      <c r="V524" s="2" t="str">
        <f ca="1">IFERROR(__xludf.DUMMYFUNCTION("""COMPUTED_VALUE"""),"11.002.0013.0392.0082.2010.33.90.39")</f>
        <v>11.002.0013.0392.0082.2010.33.90.39</v>
      </c>
      <c r="W524" s="2" t="str">
        <f ca="1">IFERROR(__xludf.DUMMYFUNCTION("""COMPUTED_VALUE"""),"0")</f>
        <v>0</v>
      </c>
      <c r="X524" s="2"/>
      <c r="Y524" s="2"/>
      <c r="Z524" s="2"/>
      <c r="AA524" s="2"/>
      <c r="AB524" s="2"/>
      <c r="AC524" s="2"/>
      <c r="AD524" s="2"/>
      <c r="AE524" s="2"/>
      <c r="AF524" s="2"/>
    </row>
    <row r="525" spans="1:32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>
        <f ca="1">IFERROR(__xludf.DUMMYFUNCTION("""COMPUTED_VALUE"""),2023)</f>
        <v>2023</v>
      </c>
      <c r="Q525" s="2" t="str">
        <f ca="1">IFERROR(__xludf.DUMMYFUNCTION("""COMPUTED_VALUE"""),"0583")</f>
        <v>0583</v>
      </c>
      <c r="R525" s="2" t="str">
        <f ca="1">IFERROR(__xludf.DUMMYFUNCTION("""COMPUTED_VALUE"""),"08.003.0008.0243.0118.6000.33.90.39")</f>
        <v>08.003.0008.0243.0118.6000.33.90.39</v>
      </c>
      <c r="S525" s="2" t="str">
        <f ca="1">IFERROR(__xludf.DUMMYFUNCTION("""COMPUTED_VALUE"""),"00935")</f>
        <v>00935</v>
      </c>
      <c r="T525" s="2">
        <f ca="1">IFERROR(__xludf.DUMMYFUNCTION("""COMPUTED_VALUE"""),2024)</f>
        <v>2024</v>
      </c>
      <c r="U525" s="2" t="str">
        <f ca="1">IFERROR(__xludf.DUMMYFUNCTION("""COMPUTED_VALUE"""),"0698")</f>
        <v>0698</v>
      </c>
      <c r="V525" s="2" t="str">
        <f ca="1">IFERROR(__xludf.DUMMYFUNCTION("""COMPUTED_VALUE"""),"11.002.0013.0392.0082.2012.33.90.30")</f>
        <v>11.002.0013.0392.0082.2012.33.90.30</v>
      </c>
      <c r="W525" s="2" t="str">
        <f ca="1">IFERROR(__xludf.DUMMYFUNCTION("""COMPUTED_VALUE"""),"0")</f>
        <v>0</v>
      </c>
      <c r="X525" s="2"/>
      <c r="Y525" s="2"/>
      <c r="Z525" s="2"/>
      <c r="AA525" s="2"/>
      <c r="AB525" s="2"/>
      <c r="AC525" s="2"/>
      <c r="AD525" s="2"/>
      <c r="AE525" s="2"/>
      <c r="AF525" s="2"/>
    </row>
    <row r="526" spans="1:32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>
        <f ca="1">IFERROR(__xludf.DUMMYFUNCTION("""COMPUTED_VALUE"""),2023)</f>
        <v>2023</v>
      </c>
      <c r="Q526" s="2" t="str">
        <f ca="1">IFERROR(__xludf.DUMMYFUNCTION("""COMPUTED_VALUE"""),"0584")</f>
        <v>0584</v>
      </c>
      <c r="R526" s="2" t="str">
        <f ca="1">IFERROR(__xludf.DUMMYFUNCTION("""COMPUTED_VALUE"""),"08.003.0008.0243.0118.6000.33.90.39")</f>
        <v>08.003.0008.0243.0118.6000.33.90.39</v>
      </c>
      <c r="S526" s="2" t="str">
        <f ca="1">IFERROR(__xludf.DUMMYFUNCTION("""COMPUTED_VALUE"""),"09391")</f>
        <v>09391</v>
      </c>
      <c r="T526" s="2">
        <f ca="1">IFERROR(__xludf.DUMMYFUNCTION("""COMPUTED_VALUE"""),2024)</f>
        <v>2024</v>
      </c>
      <c r="U526" s="2" t="str">
        <f ca="1">IFERROR(__xludf.DUMMYFUNCTION("""COMPUTED_VALUE"""),"0699")</f>
        <v>0699</v>
      </c>
      <c r="V526" s="2" t="str">
        <f ca="1">IFERROR(__xludf.DUMMYFUNCTION("""COMPUTED_VALUE"""),"11.002.0013.0392.0082.2012.33.90.40")</f>
        <v>11.002.0013.0392.0082.2012.33.90.40</v>
      </c>
      <c r="W526" s="2" t="str">
        <f ca="1">IFERROR(__xludf.DUMMYFUNCTION("""COMPUTED_VALUE"""),"0")</f>
        <v>0</v>
      </c>
      <c r="X526" s="2"/>
      <c r="Y526" s="2"/>
      <c r="Z526" s="2"/>
      <c r="AA526" s="2"/>
      <c r="AB526" s="2"/>
      <c r="AC526" s="2"/>
      <c r="AD526" s="2"/>
      <c r="AE526" s="2"/>
      <c r="AF526" s="2"/>
    </row>
    <row r="527" spans="1:32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>
        <f ca="1">IFERROR(__xludf.DUMMYFUNCTION("""COMPUTED_VALUE"""),2023)</f>
        <v>2023</v>
      </c>
      <c r="Q527" s="2" t="str">
        <f ca="1">IFERROR(__xludf.DUMMYFUNCTION("""COMPUTED_VALUE"""),"0585")</f>
        <v>0585</v>
      </c>
      <c r="R527" s="2" t="str">
        <f ca="1">IFERROR(__xludf.DUMMYFUNCTION("""COMPUTED_VALUE"""),"08.005.0008.0243.0118.6001.33.90.39")</f>
        <v>08.005.0008.0243.0118.6001.33.90.39</v>
      </c>
      <c r="S527" s="2" t="str">
        <f ca="1">IFERROR(__xludf.DUMMYFUNCTION("""COMPUTED_VALUE"""),"0000")</f>
        <v>0000</v>
      </c>
      <c r="T527" s="2">
        <f ca="1">IFERROR(__xludf.DUMMYFUNCTION("""COMPUTED_VALUE"""),2024)</f>
        <v>2024</v>
      </c>
      <c r="U527" s="2" t="str">
        <f ca="1">IFERROR(__xludf.DUMMYFUNCTION("""COMPUTED_VALUE"""),"0700")</f>
        <v>0700</v>
      </c>
      <c r="V527" s="2" t="str">
        <f ca="1">IFERROR(__xludf.DUMMYFUNCTION("""COMPUTED_VALUE"""),"11.007.0013.0392.0082.2017.33.50.43")</f>
        <v>11.007.0013.0392.0082.2017.33.50.43</v>
      </c>
      <c r="W527" s="2" t="str">
        <f ca="1">IFERROR(__xludf.DUMMYFUNCTION("""COMPUTED_VALUE"""),"0")</f>
        <v>0</v>
      </c>
      <c r="X527" s="2"/>
      <c r="Y527" s="2"/>
      <c r="Z527" s="2"/>
      <c r="AA527" s="2"/>
      <c r="AB527" s="2"/>
      <c r="AC527" s="2"/>
      <c r="AD527" s="2"/>
      <c r="AE527" s="2"/>
      <c r="AF527" s="2"/>
    </row>
    <row r="528" spans="1:32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>
        <f ca="1">IFERROR(__xludf.DUMMYFUNCTION("""COMPUTED_VALUE"""),2023)</f>
        <v>2023</v>
      </c>
      <c r="Q528" s="2" t="str">
        <f ca="1">IFERROR(__xludf.DUMMYFUNCTION("""COMPUTED_VALUE"""),"0586")</f>
        <v>0586</v>
      </c>
      <c r="R528" s="2" t="str">
        <f ca="1">IFERROR(__xludf.DUMMYFUNCTION("""COMPUTED_VALUE"""),"08.005.0008.0243.0118.6001.33.90.39")</f>
        <v>08.005.0008.0243.0118.6001.33.90.39</v>
      </c>
      <c r="S528" s="2" t="str">
        <f ca="1">IFERROR(__xludf.DUMMYFUNCTION("""COMPUTED_VALUE"""),"00035")</f>
        <v>00035</v>
      </c>
      <c r="T528" s="2">
        <f ca="1">IFERROR(__xludf.DUMMYFUNCTION("""COMPUTED_VALUE"""),2024)</f>
        <v>2024</v>
      </c>
      <c r="U528" s="2" t="str">
        <f ca="1">IFERROR(__xludf.DUMMYFUNCTION("""COMPUTED_VALUE"""),"0722")</f>
        <v>0722</v>
      </c>
      <c r="V528" s="2" t="str">
        <f ca="1">IFERROR(__xludf.DUMMYFUNCTION("""COMPUTED_VALUE"""),"11.007.0013.0392.0082.2017.33.60.45")</f>
        <v>11.007.0013.0392.0082.2017.33.60.45</v>
      </c>
      <c r="W528" s="2" t="str">
        <f ca="1">IFERROR(__xludf.DUMMYFUNCTION("""COMPUTED_VALUE"""),"32")</f>
        <v>32</v>
      </c>
      <c r="X528" s="2"/>
      <c r="Y528" s="2"/>
      <c r="Z528" s="2"/>
      <c r="AA528" s="2"/>
      <c r="AB528" s="2"/>
      <c r="AC528" s="2"/>
      <c r="AD528" s="2"/>
      <c r="AE528" s="2"/>
      <c r="AF528" s="2"/>
    </row>
    <row r="529" spans="1:32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>
        <f ca="1">IFERROR(__xludf.DUMMYFUNCTION("""COMPUTED_VALUE"""),2023)</f>
        <v>2023</v>
      </c>
      <c r="Q529" s="2" t="str">
        <f ca="1">IFERROR(__xludf.DUMMYFUNCTION("""COMPUTED_VALUE"""),"0588")</f>
        <v>0588</v>
      </c>
      <c r="R529" s="2" t="str">
        <f ca="1">IFERROR(__xludf.DUMMYFUNCTION("""COMPUTED_VALUE"""),"16.003.0015.0451.0122.1036.33.90.39")</f>
        <v>16.003.0015.0451.0122.1036.33.90.39</v>
      </c>
      <c r="S529" s="2" t="str">
        <f ca="1">IFERROR(__xludf.DUMMYFUNCTION("""COMPUTED_VALUE"""),"0000")</f>
        <v>0000</v>
      </c>
      <c r="T529" s="2">
        <f ca="1">IFERROR(__xludf.DUMMYFUNCTION("""COMPUTED_VALUE"""),2024)</f>
        <v>2024</v>
      </c>
      <c r="U529" s="2" t="str">
        <f ca="1">IFERROR(__xludf.DUMMYFUNCTION("""COMPUTED_VALUE"""),"0723")</f>
        <v>0723</v>
      </c>
      <c r="V529" s="2" t="str">
        <f ca="1">IFERROR(__xludf.DUMMYFUNCTION("""COMPUTED_VALUE"""),"11.007.0013.0392.0082.2017.33.90.36")</f>
        <v>11.007.0013.0392.0082.2017.33.90.36</v>
      </c>
      <c r="W529" s="2" t="str">
        <f ca="1">IFERROR(__xludf.DUMMYFUNCTION("""COMPUTED_VALUE"""),"32")</f>
        <v>32</v>
      </c>
      <c r="X529" s="2"/>
      <c r="Y529" s="2"/>
      <c r="Z529" s="2"/>
      <c r="AA529" s="2"/>
      <c r="AB529" s="2"/>
      <c r="AC529" s="2"/>
      <c r="AD529" s="2"/>
      <c r="AE529" s="2"/>
      <c r="AF529" s="2"/>
    </row>
    <row r="530" spans="1:32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>
        <f ca="1">IFERROR(__xludf.DUMMYFUNCTION("""COMPUTED_VALUE"""),2023)</f>
        <v>2023</v>
      </c>
      <c r="Q530" s="2" t="str">
        <f ca="1">IFERROR(__xludf.DUMMYFUNCTION("""COMPUTED_VALUE"""),"0589")</f>
        <v>0589</v>
      </c>
      <c r="R530" s="2" t="str">
        <f ca="1">IFERROR(__xludf.DUMMYFUNCTION("""COMPUTED_VALUE"""),"16.003.0015.0451.0122.1036.33.90.39")</f>
        <v>16.003.0015.0451.0122.1036.33.90.39</v>
      </c>
      <c r="S530" s="2" t="str">
        <f ca="1">IFERROR(__xludf.DUMMYFUNCTION("""COMPUTED_VALUE"""),"05102")</f>
        <v>05102</v>
      </c>
      <c r="T530" s="2">
        <f ca="1">IFERROR(__xludf.DUMMYFUNCTION("""COMPUTED_VALUE"""),2024)</f>
        <v>2024</v>
      </c>
      <c r="U530" s="2" t="str">
        <f ca="1">IFERROR(__xludf.DUMMYFUNCTION("""COMPUTED_VALUE"""),"0724")</f>
        <v>0724</v>
      </c>
      <c r="V530" s="2" t="str">
        <f ca="1">IFERROR(__xludf.DUMMYFUNCTION("""COMPUTED_VALUE"""),"11.007.0013.0392.0082.2017.33.90.39")</f>
        <v>11.007.0013.0392.0082.2017.33.90.39</v>
      </c>
      <c r="W530" s="2" t="str">
        <f ca="1">IFERROR(__xludf.DUMMYFUNCTION("""COMPUTED_VALUE"""),"32")</f>
        <v>32</v>
      </c>
      <c r="X530" s="2"/>
      <c r="Y530" s="2"/>
      <c r="Z530" s="2"/>
      <c r="AA530" s="2"/>
      <c r="AB530" s="2"/>
      <c r="AC530" s="2"/>
      <c r="AD530" s="2"/>
      <c r="AE530" s="2"/>
      <c r="AF530" s="2"/>
    </row>
    <row r="531" spans="1:32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>
        <f ca="1">IFERROR(__xludf.DUMMYFUNCTION("""COMPUTED_VALUE"""),2023)</f>
        <v>2023</v>
      </c>
      <c r="Q531" s="2" t="str">
        <f ca="1">IFERROR(__xludf.DUMMYFUNCTION("""COMPUTED_VALUE"""),"0590")</f>
        <v>0590</v>
      </c>
      <c r="R531" s="2" t="str">
        <f ca="1">IFERROR(__xludf.DUMMYFUNCTION("""COMPUTED_VALUE"""),"16.003.0015.0451.0122.1036.33.90.39")</f>
        <v>16.003.0015.0451.0122.1036.33.90.39</v>
      </c>
      <c r="S531" s="2" t="str">
        <f ca="1">IFERROR(__xludf.DUMMYFUNCTION("""COMPUTED_VALUE"""),"05104")</f>
        <v>05104</v>
      </c>
      <c r="T531" s="2">
        <f ca="1">IFERROR(__xludf.DUMMYFUNCTION("""COMPUTED_VALUE"""),2024)</f>
        <v>2024</v>
      </c>
      <c r="U531" s="2" t="str">
        <f ca="1">IFERROR(__xludf.DUMMYFUNCTION("""COMPUTED_VALUE"""),"0725")</f>
        <v>0725</v>
      </c>
      <c r="V531" s="2" t="str">
        <f ca="1">IFERROR(__xludf.DUMMYFUNCTION("""COMPUTED_VALUE"""),"11.007.0013.0392.0082.2017.33.90.48")</f>
        <v>11.007.0013.0392.0082.2017.33.90.48</v>
      </c>
      <c r="W531" s="2" t="str">
        <f ca="1">IFERROR(__xludf.DUMMYFUNCTION("""COMPUTED_VALUE"""),"32")</f>
        <v>32</v>
      </c>
      <c r="X531" s="2"/>
      <c r="Y531" s="2"/>
      <c r="Z531" s="2"/>
      <c r="AA531" s="2"/>
      <c r="AB531" s="2"/>
      <c r="AC531" s="2"/>
      <c r="AD531" s="2"/>
      <c r="AE531" s="2"/>
      <c r="AF531" s="2"/>
    </row>
    <row r="532" spans="1: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>
        <f ca="1">IFERROR(__xludf.DUMMYFUNCTION("""COMPUTED_VALUE"""),2023)</f>
        <v>2023</v>
      </c>
      <c r="Q532" s="2" t="str">
        <f ca="1">IFERROR(__xludf.DUMMYFUNCTION("""COMPUTED_VALUE"""),"0591")</f>
        <v>0591</v>
      </c>
      <c r="R532" s="2" t="str">
        <f ca="1">IFERROR(__xludf.DUMMYFUNCTION("""COMPUTED_VALUE"""),"16.003.0015.0451.0122.2084.33.90.39")</f>
        <v>16.003.0015.0451.0122.2084.33.90.39</v>
      </c>
      <c r="S532" s="2" t="str">
        <f ca="1">IFERROR(__xludf.DUMMYFUNCTION("""COMPUTED_VALUE"""),"0000")</f>
        <v>0000</v>
      </c>
      <c r="T532" s="2">
        <f ca="1">IFERROR(__xludf.DUMMYFUNCTION("""COMPUTED_VALUE"""),2024)</f>
        <v>2024</v>
      </c>
      <c r="U532" s="2" t="str">
        <f ca="1">IFERROR(__xludf.DUMMYFUNCTION("""COMPUTED_VALUE"""),"0726")</f>
        <v>0726</v>
      </c>
      <c r="V532" s="2" t="str">
        <f ca="1">IFERROR(__xludf.DUMMYFUNCTION("""COMPUTED_VALUE"""),"11.007.0013.0392.0082.2017.44.90.52")</f>
        <v>11.007.0013.0392.0082.2017.44.90.52</v>
      </c>
      <c r="W532" s="2" t="str">
        <f ca="1">IFERROR(__xludf.DUMMYFUNCTION("""COMPUTED_VALUE"""),"32")</f>
        <v>32</v>
      </c>
      <c r="X532" s="2"/>
      <c r="Y532" s="2"/>
      <c r="Z532" s="2"/>
      <c r="AA532" s="2"/>
      <c r="AB532" s="2"/>
      <c r="AC532" s="2"/>
      <c r="AD532" s="2"/>
      <c r="AE532" s="2"/>
      <c r="AF532" s="2"/>
    </row>
    <row r="533" spans="1:32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>
        <f ca="1">IFERROR(__xludf.DUMMYFUNCTION("""COMPUTED_VALUE"""),2023)</f>
        <v>2023</v>
      </c>
      <c r="Q533" s="2" t="str">
        <f ca="1">IFERROR(__xludf.DUMMYFUNCTION("""COMPUTED_VALUE"""),"0592")</f>
        <v>0592</v>
      </c>
      <c r="R533" s="2" t="str">
        <f ca="1">IFERROR(__xludf.DUMMYFUNCTION("""COMPUTED_VALUE"""),"16.001.0015.0451.0122.2085.33.90.39")</f>
        <v>16.001.0015.0451.0122.2085.33.90.39</v>
      </c>
      <c r="S533" s="2" t="str">
        <f ca="1">IFERROR(__xludf.DUMMYFUNCTION("""COMPUTED_VALUE"""),"0000")</f>
        <v>0000</v>
      </c>
      <c r="T533" s="2">
        <f ca="1">IFERROR(__xludf.DUMMYFUNCTION("""COMPUTED_VALUE"""),2024)</f>
        <v>2024</v>
      </c>
      <c r="U533" s="2" t="str">
        <f ca="1">IFERROR(__xludf.DUMMYFUNCTION("""COMPUTED_VALUE"""),"0727")</f>
        <v>0727</v>
      </c>
      <c r="V533" s="2" t="str">
        <f ca="1">IFERROR(__xludf.DUMMYFUNCTION("""COMPUTED_VALUE"""),"11.007.0013.0392.0082.2164.31.90.13")</f>
        <v>11.007.0013.0392.0082.2164.31.90.13</v>
      </c>
      <c r="W533" s="2" t="str">
        <f ca="1">IFERROR(__xludf.DUMMYFUNCTION("""COMPUTED_VALUE"""),"32")</f>
        <v>32</v>
      </c>
      <c r="X533" s="2"/>
      <c r="Y533" s="2"/>
      <c r="Z533" s="2"/>
      <c r="AA533" s="2"/>
      <c r="AB533" s="2"/>
      <c r="AC533" s="2"/>
      <c r="AD533" s="2"/>
      <c r="AE533" s="2"/>
      <c r="AF533" s="2"/>
    </row>
    <row r="534" spans="1:32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>
        <f ca="1">IFERROR(__xludf.DUMMYFUNCTION("""COMPUTED_VALUE"""),2023)</f>
        <v>2023</v>
      </c>
      <c r="Q534" s="2" t="str">
        <f ca="1">IFERROR(__xludf.DUMMYFUNCTION("""COMPUTED_VALUE"""),"0593")</f>
        <v>0593</v>
      </c>
      <c r="R534" s="2" t="str">
        <f ca="1">IFERROR(__xludf.DUMMYFUNCTION("""COMPUTED_VALUE"""),"16.001.0015.0451.0122.2085.33.90.39")</f>
        <v>16.001.0015.0451.0122.2085.33.90.39</v>
      </c>
      <c r="S534" s="2" t="str">
        <f ca="1">IFERROR(__xludf.DUMMYFUNCTION("""COMPUTED_VALUE"""),"05104")</f>
        <v>05104</v>
      </c>
      <c r="T534" s="2">
        <f ca="1">IFERROR(__xludf.DUMMYFUNCTION("""COMPUTED_VALUE"""),2024)</f>
        <v>2024</v>
      </c>
      <c r="U534" s="2" t="str">
        <f ca="1">IFERROR(__xludf.DUMMYFUNCTION("""COMPUTED_VALUE"""),"1154")</f>
        <v>1154</v>
      </c>
      <c r="V534" s="2" t="str">
        <f ca="1">IFERROR(__xludf.DUMMYFUNCTION("""COMPUTED_VALUE"""),"11.007.0013.0392.0082.2164.31.90.13")</f>
        <v>11.007.0013.0392.0082.2164.31.90.13</v>
      </c>
      <c r="W534" s="2" t="str">
        <f ca="1">IFERROR(__xludf.DUMMYFUNCTION("""COMPUTED_VALUE"""),"1053")</f>
        <v>1053</v>
      </c>
      <c r="X534" s="2"/>
      <c r="Y534" s="2"/>
      <c r="Z534" s="2"/>
      <c r="AA534" s="2"/>
      <c r="AB534" s="2"/>
      <c r="AC534" s="2"/>
      <c r="AD534" s="2"/>
      <c r="AE534" s="2"/>
      <c r="AF534" s="2"/>
    </row>
    <row r="535" spans="1:32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>
        <f ca="1">IFERROR(__xludf.DUMMYFUNCTION("""COMPUTED_VALUE"""),2023)</f>
        <v>2023</v>
      </c>
      <c r="Q535" s="2" t="str">
        <f ca="1">IFERROR(__xludf.DUMMYFUNCTION("""COMPUTED_VALUE"""),"0594")</f>
        <v>0594</v>
      </c>
      <c r="R535" s="2" t="str">
        <f ca="1">IFERROR(__xludf.DUMMYFUNCTION("""COMPUTED_VALUE"""),"16.002.0015.0451.0122.2103.33.90.39")</f>
        <v>16.002.0015.0451.0122.2103.33.90.39</v>
      </c>
      <c r="S535" s="2" t="str">
        <f ca="1">IFERROR(__xludf.DUMMYFUNCTION("""COMPUTED_VALUE"""),"0000")</f>
        <v>0000</v>
      </c>
      <c r="T535" s="2">
        <f ca="1">IFERROR(__xludf.DUMMYFUNCTION("""COMPUTED_VALUE"""),2024)</f>
        <v>2024</v>
      </c>
      <c r="U535" s="2" t="str">
        <f ca="1">IFERROR(__xludf.DUMMYFUNCTION("""COMPUTED_VALUE"""),"1155")</f>
        <v>1155</v>
      </c>
      <c r="V535" s="2" t="str">
        <f ca="1">IFERROR(__xludf.DUMMYFUNCTION("""COMPUTED_VALUE"""),"11.007.0013.0392.0082.2164.33.90.31")</f>
        <v>11.007.0013.0392.0082.2164.33.90.31</v>
      </c>
      <c r="W535" s="2" t="str">
        <f ca="1">IFERROR(__xludf.DUMMYFUNCTION("""COMPUTED_VALUE"""),"1054")</f>
        <v>1054</v>
      </c>
      <c r="X535" s="2"/>
      <c r="Y535" s="2"/>
      <c r="Z535" s="2"/>
      <c r="AA535" s="2"/>
      <c r="AB535" s="2"/>
      <c r="AC535" s="2"/>
      <c r="AD535" s="2"/>
      <c r="AE535" s="2"/>
      <c r="AF535" s="2"/>
    </row>
    <row r="536" spans="1:32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>
        <f ca="1">IFERROR(__xludf.DUMMYFUNCTION("""COMPUTED_VALUE"""),2023)</f>
        <v>2023</v>
      </c>
      <c r="Q536" s="2" t="str">
        <f ca="1">IFERROR(__xludf.DUMMYFUNCTION("""COMPUTED_VALUE"""),"0595")</f>
        <v>0595</v>
      </c>
      <c r="R536" s="2" t="str">
        <f ca="1">IFERROR(__xludf.DUMMYFUNCTION("""COMPUTED_VALUE"""),"16.002.0015.0451.0122.2103.33.90.39")</f>
        <v>16.002.0015.0451.0122.2103.33.90.39</v>
      </c>
      <c r="S536" s="2" t="str">
        <f ca="1">IFERROR(__xludf.DUMMYFUNCTION("""COMPUTED_VALUE"""),"05104")</f>
        <v>05104</v>
      </c>
      <c r="T536" s="2">
        <f ca="1">IFERROR(__xludf.DUMMYFUNCTION("""COMPUTED_VALUE"""),2024)</f>
        <v>2024</v>
      </c>
      <c r="U536" s="2" t="str">
        <f ca="1">IFERROR(__xludf.DUMMYFUNCTION("""COMPUTED_VALUE"""),"1156")</f>
        <v>1156</v>
      </c>
      <c r="V536" s="2" t="str">
        <f ca="1">IFERROR(__xludf.DUMMYFUNCTION("""COMPUTED_VALUE"""),"11.007.0013.0392.0082.2164.33.90.31")</f>
        <v>11.007.0013.0392.0082.2164.33.90.31</v>
      </c>
      <c r="W536" s="2" t="str">
        <f ca="1">IFERROR(__xludf.DUMMYFUNCTION("""COMPUTED_VALUE"""),"1053")</f>
        <v>1053</v>
      </c>
      <c r="X536" s="2"/>
      <c r="Y536" s="2"/>
      <c r="Z536" s="2"/>
      <c r="AA536" s="2"/>
      <c r="AB536" s="2"/>
      <c r="AC536" s="2"/>
      <c r="AD536" s="2"/>
      <c r="AE536" s="2"/>
      <c r="AF536" s="2"/>
    </row>
    <row r="537" spans="1:32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>
        <f ca="1">IFERROR(__xludf.DUMMYFUNCTION("""COMPUTED_VALUE"""),2023)</f>
        <v>2023</v>
      </c>
      <c r="Q537" s="2" t="str">
        <f ca="1">IFERROR(__xludf.DUMMYFUNCTION("""COMPUTED_VALUE"""),"0596")</f>
        <v>0596</v>
      </c>
      <c r="R537" s="2" t="str">
        <f ca="1">IFERROR(__xludf.DUMMYFUNCTION("""COMPUTED_VALUE"""),"03.003.0016.0452.0122.2116.33.90.39")</f>
        <v>03.003.0016.0452.0122.2116.33.90.39</v>
      </c>
      <c r="S537" s="2" t="str">
        <f ca="1">IFERROR(__xludf.DUMMYFUNCTION("""COMPUTED_VALUE"""),"0000")</f>
        <v>0000</v>
      </c>
      <c r="T537" s="2">
        <f ca="1">IFERROR(__xludf.DUMMYFUNCTION("""COMPUTED_VALUE"""),2024)</f>
        <v>2024</v>
      </c>
      <c r="U537" s="2" t="str">
        <f ca="1">IFERROR(__xludf.DUMMYFUNCTION("""COMPUTED_VALUE"""),"1157")</f>
        <v>1157</v>
      </c>
      <c r="V537" s="2" t="str">
        <f ca="1">IFERROR(__xludf.DUMMYFUNCTION("""COMPUTED_VALUE"""),"11.007.0013.0392.0082.2164.33.90.39")</f>
        <v>11.007.0013.0392.0082.2164.33.90.39</v>
      </c>
      <c r="W537" s="2" t="str">
        <f ca="1">IFERROR(__xludf.DUMMYFUNCTION("""COMPUTED_VALUE"""),"1054")</f>
        <v>1054</v>
      </c>
      <c r="X537" s="2"/>
      <c r="Y537" s="2"/>
      <c r="Z537" s="2"/>
      <c r="AA537" s="2"/>
      <c r="AB537" s="2"/>
      <c r="AC537" s="2"/>
      <c r="AD537" s="2"/>
      <c r="AE537" s="2"/>
      <c r="AF537" s="2"/>
    </row>
    <row r="538" spans="1:32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>
        <f ca="1">IFERROR(__xludf.DUMMYFUNCTION("""COMPUTED_VALUE"""),2023)</f>
        <v>2023</v>
      </c>
      <c r="Q538" s="2" t="str">
        <f ca="1">IFERROR(__xludf.DUMMYFUNCTION("""COMPUTED_VALUE"""),"0597")</f>
        <v>0597</v>
      </c>
      <c r="R538" s="2" t="str">
        <f ca="1">IFERROR(__xludf.DUMMYFUNCTION("""COMPUTED_VALUE"""),"03.002.0016.0482.0122.2118.33.90.39")</f>
        <v>03.002.0016.0482.0122.2118.33.90.39</v>
      </c>
      <c r="S538" s="2" t="str">
        <f ca="1">IFERROR(__xludf.DUMMYFUNCTION("""COMPUTED_VALUE"""),"00037")</f>
        <v>00037</v>
      </c>
      <c r="T538" s="2">
        <f ca="1">IFERROR(__xludf.DUMMYFUNCTION("""COMPUTED_VALUE"""),2024)</f>
        <v>2024</v>
      </c>
      <c r="U538" s="2" t="str">
        <f ca="1">IFERROR(__xludf.DUMMYFUNCTION("""COMPUTED_VALUE"""),"1159")</f>
        <v>1159</v>
      </c>
      <c r="V538" s="2" t="str">
        <f ca="1">IFERROR(__xludf.DUMMYFUNCTION("""COMPUTED_VALUE"""),"11.007.0013.0392.0082.2164.33.90.48")</f>
        <v>11.007.0013.0392.0082.2164.33.90.48</v>
      </c>
      <c r="W538" s="2" t="str">
        <f ca="1">IFERROR(__xludf.DUMMYFUNCTION("""COMPUTED_VALUE"""),"1053")</f>
        <v>1053</v>
      </c>
      <c r="X538" s="2"/>
      <c r="Y538" s="2"/>
      <c r="Z538" s="2"/>
      <c r="AA538" s="2"/>
      <c r="AB538" s="2"/>
      <c r="AC538" s="2"/>
      <c r="AD538" s="2"/>
      <c r="AE538" s="2"/>
      <c r="AF538" s="2"/>
    </row>
    <row r="539" spans="1:32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>
        <f ca="1">IFERROR(__xludf.DUMMYFUNCTION("""COMPUTED_VALUE"""),2023)</f>
        <v>2023</v>
      </c>
      <c r="Q539" s="2" t="str">
        <f ca="1">IFERROR(__xludf.DUMMYFUNCTION("""COMPUTED_VALUE"""),"0598")</f>
        <v>0598</v>
      </c>
      <c r="R539" s="2" t="str">
        <f ca="1">IFERROR(__xludf.DUMMYFUNCTION("""COMPUTED_VALUE"""),"10.004.0018.0541.0123.1200.33.90.39")</f>
        <v>10.004.0018.0541.0123.1200.33.90.39</v>
      </c>
      <c r="S539" s="2" t="str">
        <f ca="1">IFERROR(__xludf.DUMMYFUNCTION("""COMPUTED_VALUE"""),"0000")</f>
        <v>0000</v>
      </c>
      <c r="T539" s="2">
        <f ca="1">IFERROR(__xludf.DUMMYFUNCTION("""COMPUTED_VALUE"""),2024)</f>
        <v>2024</v>
      </c>
      <c r="U539" s="2" t="str">
        <f ca="1">IFERROR(__xludf.DUMMYFUNCTION("""COMPUTED_VALUE"""),"1158")</f>
        <v>1158</v>
      </c>
      <c r="V539" s="2" t="str">
        <f ca="1">IFERROR(__xludf.DUMMYFUNCTION("""COMPUTED_VALUE"""),"11.007.0013.0392.0082.2164.33.90.93")</f>
        <v>11.007.0013.0392.0082.2164.33.90.93</v>
      </c>
      <c r="W539" s="2" t="str">
        <f ca="1">IFERROR(__xludf.DUMMYFUNCTION("""COMPUTED_VALUE"""),"1053")</f>
        <v>1053</v>
      </c>
      <c r="X539" s="2"/>
      <c r="Y539" s="2"/>
      <c r="Z539" s="2"/>
      <c r="AA539" s="2"/>
      <c r="AB539" s="2"/>
      <c r="AC539" s="2"/>
      <c r="AD539" s="2"/>
      <c r="AE539" s="2"/>
      <c r="AF539" s="2"/>
    </row>
    <row r="540" spans="1:32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>
        <f ca="1">IFERROR(__xludf.DUMMYFUNCTION("""COMPUTED_VALUE"""),2023)</f>
        <v>2023</v>
      </c>
      <c r="Q540" s="2" t="str">
        <f ca="1">IFERROR(__xludf.DUMMYFUNCTION("""COMPUTED_VALUE"""),"0599")</f>
        <v>0599</v>
      </c>
      <c r="R540" s="2" t="str">
        <f ca="1">IFERROR(__xludf.DUMMYFUNCTION("""COMPUTED_VALUE"""),"10.004.0018.0541.0123.1200.33.90.39")</f>
        <v>10.004.0018.0541.0123.1200.33.90.39</v>
      </c>
      <c r="S540" s="2" t="str">
        <f ca="1">IFERROR(__xludf.DUMMYFUNCTION("""COMPUTED_VALUE"""),"00511")</f>
        <v>00511</v>
      </c>
      <c r="T540" s="2">
        <f ca="1">IFERROR(__xludf.DUMMYFUNCTION("""COMPUTED_VALUE"""),2024)</f>
        <v>2024</v>
      </c>
      <c r="U540" s="2" t="str">
        <f ca="1">IFERROR(__xludf.DUMMYFUNCTION("""COMPUTED_VALUE"""),"1160")</f>
        <v>1160</v>
      </c>
      <c r="V540" s="2" t="str">
        <f ca="1">IFERROR(__xludf.DUMMYFUNCTION("""COMPUTED_VALUE"""),"11.007.0013.0392.0082.2164.33.90.93")</f>
        <v>11.007.0013.0392.0082.2164.33.90.93</v>
      </c>
      <c r="W540" s="2" t="str">
        <f ca="1">IFERROR(__xludf.DUMMYFUNCTION("""COMPUTED_VALUE"""),"1053")</f>
        <v>1053</v>
      </c>
      <c r="X540" s="2"/>
      <c r="Y540" s="2"/>
      <c r="Z540" s="2"/>
      <c r="AA540" s="2"/>
      <c r="AB540" s="2"/>
      <c r="AC540" s="2"/>
      <c r="AD540" s="2"/>
      <c r="AE540" s="2"/>
      <c r="AF540" s="2"/>
    </row>
    <row r="541" spans="1:32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>
        <f ca="1">IFERROR(__xludf.DUMMYFUNCTION("""COMPUTED_VALUE"""),2023)</f>
        <v>2023</v>
      </c>
      <c r="Q541" s="2" t="str">
        <f ca="1">IFERROR(__xludf.DUMMYFUNCTION("""COMPUTED_VALUE"""),"0600")</f>
        <v>0600</v>
      </c>
      <c r="R541" s="2" t="str">
        <f ca="1">IFERROR(__xludf.DUMMYFUNCTION("""COMPUTED_VALUE"""),"10.001.0004.0122.0123.2109.33.90.39")</f>
        <v>10.001.0004.0122.0123.2109.33.90.39</v>
      </c>
      <c r="S541" s="2" t="str">
        <f ca="1">IFERROR(__xludf.DUMMYFUNCTION("""COMPUTED_VALUE"""),"0000")</f>
        <v>0000</v>
      </c>
      <c r="T541" s="2">
        <f ca="1">IFERROR(__xludf.DUMMYFUNCTION("""COMPUTED_VALUE"""),2024)</f>
        <v>2024</v>
      </c>
      <c r="U541" s="2" t="str">
        <f ca="1">IFERROR(__xludf.DUMMYFUNCTION("""COMPUTED_VALUE"""),"1161")</f>
        <v>1161</v>
      </c>
      <c r="V541" s="2" t="str">
        <f ca="1">IFERROR(__xludf.DUMMYFUNCTION("""COMPUTED_VALUE"""),"11.008.0027.0243.0083.6031.33.90.30")</f>
        <v>11.008.0027.0243.0083.6031.33.90.30</v>
      </c>
      <c r="W541" s="2" t="str">
        <f ca="1">IFERROR(__xludf.DUMMYFUNCTION("""COMPUTED_VALUE"""),"1054")</f>
        <v>1054</v>
      </c>
      <c r="X541" s="2"/>
      <c r="Y541" s="2"/>
      <c r="Z541" s="2"/>
      <c r="AA541" s="2"/>
      <c r="AB541" s="2"/>
      <c r="AC541" s="2"/>
      <c r="AD541" s="2"/>
      <c r="AE541" s="2"/>
      <c r="AF541" s="2"/>
    </row>
    <row r="542" spans="1:3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>
        <f ca="1">IFERROR(__xludf.DUMMYFUNCTION("""COMPUTED_VALUE"""),2023)</f>
        <v>2023</v>
      </c>
      <c r="Q542" s="2" t="str">
        <f ca="1">IFERROR(__xludf.DUMMYFUNCTION("""COMPUTED_VALUE"""),"0601")</f>
        <v>0601</v>
      </c>
      <c r="R542" s="2" t="str">
        <f ca="1">IFERROR(__xludf.DUMMYFUNCTION("""COMPUTED_VALUE"""),"10.002.0018.0541.0123.2110.33.90.39")</f>
        <v>10.002.0018.0541.0123.2110.33.90.39</v>
      </c>
      <c r="S542" s="2" t="str">
        <f ca="1">IFERROR(__xludf.DUMMYFUNCTION("""COMPUTED_VALUE"""),"0000")</f>
        <v>0000</v>
      </c>
      <c r="T542" s="2">
        <f ca="1">IFERROR(__xludf.DUMMYFUNCTION("""COMPUTED_VALUE"""),2024)</f>
        <v>2024</v>
      </c>
      <c r="U542" s="2" t="str">
        <f ca="1">IFERROR(__xludf.DUMMYFUNCTION("""COMPUTED_VALUE"""),"1142")</f>
        <v>1142</v>
      </c>
      <c r="V542" s="2" t="str">
        <f ca="1">IFERROR(__xludf.DUMMYFUNCTION("""COMPUTED_VALUE"""),"11.008.0027.0243.0083.6031.33.90.39")</f>
        <v>11.008.0027.0243.0083.6031.33.90.39</v>
      </c>
      <c r="W542" s="2" t="str">
        <f ca="1">IFERROR(__xludf.DUMMYFUNCTION("""COMPUTED_VALUE"""),"0")</f>
        <v>0</v>
      </c>
      <c r="X542" s="2"/>
      <c r="Y542" s="2"/>
      <c r="Z542" s="2"/>
      <c r="AA542" s="2"/>
      <c r="AB542" s="2"/>
      <c r="AC542" s="2"/>
      <c r="AD542" s="2"/>
      <c r="AE542" s="2"/>
      <c r="AF542" s="2"/>
    </row>
    <row r="543" spans="1:32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>
        <f ca="1">IFERROR(__xludf.DUMMYFUNCTION("""COMPUTED_VALUE"""),2023)</f>
        <v>2023</v>
      </c>
      <c r="Q543" s="2" t="str">
        <f ca="1">IFERROR(__xludf.DUMMYFUNCTION("""COMPUTED_VALUE"""),"0602")</f>
        <v>0602</v>
      </c>
      <c r="R543" s="2" t="str">
        <f ca="1">IFERROR(__xludf.DUMMYFUNCTION("""COMPUTED_VALUE"""),"10.003.0018.0542.0123.2111.33.90.39")</f>
        <v>10.003.0018.0542.0123.2111.33.90.39</v>
      </c>
      <c r="S543" s="2" t="str">
        <f ca="1">IFERROR(__xludf.DUMMYFUNCTION("""COMPUTED_VALUE"""),"0000")</f>
        <v>0000</v>
      </c>
      <c r="T543" s="2">
        <f ca="1">IFERROR(__xludf.DUMMYFUNCTION("""COMPUTED_VALUE"""),2024)</f>
        <v>2024</v>
      </c>
      <c r="U543" s="2" t="str">
        <f ca="1">IFERROR(__xludf.DUMMYFUNCTION("""COMPUTED_VALUE"""),"1144")</f>
        <v>1144</v>
      </c>
      <c r="V543" s="2" t="str">
        <f ca="1">IFERROR(__xludf.DUMMYFUNCTION("""COMPUTED_VALUE"""),"11.008.0027.0811.0083.2161.33.90.14")</f>
        <v>11.008.0027.0811.0083.2161.33.90.14</v>
      </c>
      <c r="W543" s="2" t="str">
        <f ca="1">IFERROR(__xludf.DUMMYFUNCTION("""COMPUTED_VALUE"""),"0")</f>
        <v>0</v>
      </c>
      <c r="X543" s="2"/>
      <c r="Y543" s="2"/>
      <c r="Z543" s="2"/>
      <c r="AA543" s="2"/>
      <c r="AB543" s="2"/>
      <c r="AC543" s="2"/>
      <c r="AD543" s="2"/>
      <c r="AE543" s="2"/>
      <c r="AF543" s="2"/>
    </row>
    <row r="544" spans="1:32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>
        <f ca="1">IFERROR(__xludf.DUMMYFUNCTION("""COMPUTED_VALUE"""),2023)</f>
        <v>2023</v>
      </c>
      <c r="Q544" s="2" t="str">
        <f ca="1">IFERROR(__xludf.DUMMYFUNCTION("""COMPUTED_VALUE"""),"0603")</f>
        <v>0603</v>
      </c>
      <c r="R544" s="2" t="str">
        <f ca="1">IFERROR(__xludf.DUMMYFUNCTION("""COMPUTED_VALUE"""),"10.005.0018.0541.0123.2112.33.90.39")</f>
        <v>10.005.0018.0541.0123.2112.33.90.39</v>
      </c>
      <c r="S544" s="2" t="str">
        <f ca="1">IFERROR(__xludf.DUMMYFUNCTION("""COMPUTED_VALUE"""),"0000")</f>
        <v>0000</v>
      </c>
      <c r="T544" s="2">
        <f ca="1">IFERROR(__xludf.DUMMYFUNCTION("""COMPUTED_VALUE"""),2024)</f>
        <v>2024</v>
      </c>
      <c r="U544" s="2" t="str">
        <f ca="1">IFERROR(__xludf.DUMMYFUNCTION("""COMPUTED_VALUE"""),"1128")</f>
        <v>1128</v>
      </c>
      <c r="V544" s="2" t="str">
        <f ca="1">IFERROR(__xludf.DUMMYFUNCTION("""COMPUTED_VALUE"""),"11.008.0027.0811.0083.2161.33.90.30")</f>
        <v>11.008.0027.0811.0083.2161.33.90.30</v>
      </c>
      <c r="W544" s="2" t="str">
        <f ca="1">IFERROR(__xludf.DUMMYFUNCTION("""COMPUTED_VALUE"""),"0")</f>
        <v>0</v>
      </c>
      <c r="X544" s="2"/>
      <c r="Y544" s="2"/>
      <c r="Z544" s="2"/>
      <c r="AA544" s="2"/>
      <c r="AB544" s="2"/>
      <c r="AC544" s="2"/>
      <c r="AD544" s="2"/>
      <c r="AE544" s="2"/>
      <c r="AF544" s="2"/>
    </row>
    <row r="545" spans="1:32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>
        <f ca="1">IFERROR(__xludf.DUMMYFUNCTION("""COMPUTED_VALUE"""),2023)</f>
        <v>2023</v>
      </c>
      <c r="Q545" s="2" t="str">
        <f ca="1">IFERROR(__xludf.DUMMYFUNCTION("""COMPUTED_VALUE"""),"0604")</f>
        <v>0604</v>
      </c>
      <c r="R545" s="2" t="str">
        <f ca="1">IFERROR(__xludf.DUMMYFUNCTION("""COMPUTED_VALUE"""),"10.008.0018.0542.0123.2113.33.90.39")</f>
        <v>10.008.0018.0542.0123.2113.33.90.39</v>
      </c>
      <c r="S545" s="2" t="str">
        <f ca="1">IFERROR(__xludf.DUMMYFUNCTION("""COMPUTED_VALUE"""),"0000")</f>
        <v>0000</v>
      </c>
      <c r="T545" s="2">
        <f ca="1">IFERROR(__xludf.DUMMYFUNCTION("""COMPUTED_VALUE"""),2024)</f>
        <v>2024</v>
      </c>
      <c r="U545" s="2" t="str">
        <f ca="1">IFERROR(__xludf.DUMMYFUNCTION("""COMPUTED_VALUE"""),"1129")</f>
        <v>1129</v>
      </c>
      <c r="V545" s="2" t="str">
        <f ca="1">IFERROR(__xludf.DUMMYFUNCTION("""COMPUTED_VALUE"""),"11.008.0027.0811.0083.2161.33.90.32")</f>
        <v>11.008.0027.0811.0083.2161.33.90.32</v>
      </c>
      <c r="W545" s="2" t="str">
        <f ca="1">IFERROR(__xludf.DUMMYFUNCTION("""COMPUTED_VALUE"""),"0")</f>
        <v>0</v>
      </c>
      <c r="X545" s="2"/>
      <c r="Y545" s="2"/>
      <c r="Z545" s="2"/>
      <c r="AA545" s="2"/>
      <c r="AB545" s="2"/>
      <c r="AC545" s="2"/>
      <c r="AD545" s="2"/>
      <c r="AE545" s="2"/>
      <c r="AF545" s="2"/>
    </row>
    <row r="546" spans="1:32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>
        <f ca="1">IFERROR(__xludf.DUMMYFUNCTION("""COMPUTED_VALUE"""),2023)</f>
        <v>2023</v>
      </c>
      <c r="Q546" s="2" t="str">
        <f ca="1">IFERROR(__xludf.DUMMYFUNCTION("""COMPUTED_VALUE"""),"0605")</f>
        <v>0605</v>
      </c>
      <c r="R546" s="2" t="str">
        <f ca="1">IFERROR(__xludf.DUMMYFUNCTION("""COMPUTED_VALUE"""),"10.006.0018.0541.0123.2114.33.90.39")</f>
        <v>10.006.0018.0541.0123.2114.33.90.39</v>
      </c>
      <c r="S546" s="2" t="str">
        <f ca="1">IFERROR(__xludf.DUMMYFUNCTION("""COMPUTED_VALUE"""),"00555")</f>
        <v>00555</v>
      </c>
      <c r="T546" s="2">
        <f ca="1">IFERROR(__xludf.DUMMYFUNCTION("""COMPUTED_VALUE"""),2024)</f>
        <v>2024</v>
      </c>
      <c r="U546" s="2" t="str">
        <f ca="1">IFERROR(__xludf.DUMMYFUNCTION("""COMPUTED_VALUE"""),"1130")</f>
        <v>1130</v>
      </c>
      <c r="V546" s="2" t="str">
        <f ca="1">IFERROR(__xludf.DUMMYFUNCTION("""COMPUTED_VALUE"""),"11.008.0027.0811.0083.2161.33.90.33")</f>
        <v>11.008.0027.0811.0083.2161.33.90.33</v>
      </c>
      <c r="W546" s="2" t="str">
        <f ca="1">IFERROR(__xludf.DUMMYFUNCTION("""COMPUTED_VALUE"""),"0")</f>
        <v>0</v>
      </c>
      <c r="X546" s="2"/>
      <c r="Y546" s="2"/>
      <c r="Z546" s="2"/>
      <c r="AA546" s="2"/>
      <c r="AB546" s="2"/>
      <c r="AC546" s="2"/>
      <c r="AD546" s="2"/>
      <c r="AE546" s="2"/>
      <c r="AF546" s="2"/>
    </row>
    <row r="547" spans="1:32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>
        <f ca="1">IFERROR(__xludf.DUMMYFUNCTION("""COMPUTED_VALUE"""),2023)</f>
        <v>2023</v>
      </c>
      <c r="Q547" s="2" t="str">
        <f ca="1">IFERROR(__xludf.DUMMYFUNCTION("""COMPUTED_VALUE"""),"0606")</f>
        <v>0606</v>
      </c>
      <c r="R547" s="2" t="str">
        <f ca="1">IFERROR(__xludf.DUMMYFUNCTION("""COMPUTED_VALUE"""),"10.007.0018.0541.0123.2115.33.90.39")</f>
        <v>10.007.0018.0541.0123.2115.33.90.39</v>
      </c>
      <c r="S547" s="2" t="str">
        <f ca="1">IFERROR(__xludf.DUMMYFUNCTION("""COMPUTED_VALUE"""),"00555")</f>
        <v>00555</v>
      </c>
      <c r="T547" s="2">
        <f ca="1">IFERROR(__xludf.DUMMYFUNCTION("""COMPUTED_VALUE"""),2024)</f>
        <v>2024</v>
      </c>
      <c r="U547" s="2" t="str">
        <f ca="1">IFERROR(__xludf.DUMMYFUNCTION("""COMPUTED_VALUE"""),"1131")</f>
        <v>1131</v>
      </c>
      <c r="V547" s="2" t="str">
        <f ca="1">IFERROR(__xludf.DUMMYFUNCTION("""COMPUTED_VALUE"""),"11.008.0027.0811.0083.2161.33.90.39")</f>
        <v>11.008.0027.0811.0083.2161.33.90.39</v>
      </c>
      <c r="W547" s="2" t="str">
        <f ca="1">IFERROR(__xludf.DUMMYFUNCTION("""COMPUTED_VALUE"""),"0")</f>
        <v>0</v>
      </c>
      <c r="X547" s="2"/>
      <c r="Y547" s="2"/>
      <c r="Z547" s="2"/>
      <c r="AA547" s="2"/>
      <c r="AB547" s="2"/>
      <c r="AC547" s="2"/>
      <c r="AD547" s="2"/>
      <c r="AE547" s="2"/>
      <c r="AF547" s="2"/>
    </row>
    <row r="548" spans="1:32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>
        <f ca="1">IFERROR(__xludf.DUMMYFUNCTION("""COMPUTED_VALUE"""),2023)</f>
        <v>2023</v>
      </c>
      <c r="Q548" s="2" t="str">
        <f ca="1">IFERROR(__xludf.DUMMYFUNCTION("""COMPUTED_VALUE"""),"0608")</f>
        <v>0608</v>
      </c>
      <c r="R548" s="2" t="str">
        <f ca="1">IFERROR(__xludf.DUMMYFUNCTION("""COMPUTED_VALUE"""),"09.001.0004.0129.0131.2019.33.90.39")</f>
        <v>09.001.0004.0129.0131.2019.33.90.39</v>
      </c>
      <c r="S548" s="2" t="str">
        <f ca="1">IFERROR(__xludf.DUMMYFUNCTION("""COMPUTED_VALUE"""),"0000")</f>
        <v>0000</v>
      </c>
      <c r="T548" s="2">
        <f ca="1">IFERROR(__xludf.DUMMYFUNCTION("""COMPUTED_VALUE"""),2024)</f>
        <v>2024</v>
      </c>
      <c r="U548" s="2" t="str">
        <f ca="1">IFERROR(__xludf.DUMMYFUNCTION("""COMPUTED_VALUE"""),"1132")</f>
        <v>1132</v>
      </c>
      <c r="V548" s="2" t="str">
        <f ca="1">IFERROR(__xludf.DUMMYFUNCTION("""COMPUTED_VALUE"""),"11.008.0027.0812.0083.1086.44.90.30")</f>
        <v>11.008.0027.0812.0083.1086.44.90.30</v>
      </c>
      <c r="W548" s="2" t="str">
        <f ca="1">IFERROR(__xludf.DUMMYFUNCTION("""COMPUTED_VALUE"""),"0")</f>
        <v>0</v>
      </c>
      <c r="X548" s="2"/>
      <c r="Y548" s="2"/>
      <c r="Z548" s="2"/>
      <c r="AA548" s="2"/>
      <c r="AB548" s="2"/>
      <c r="AC548" s="2"/>
      <c r="AD548" s="2"/>
      <c r="AE548" s="2"/>
      <c r="AF548" s="2"/>
    </row>
    <row r="549" spans="1:32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>
        <f ca="1">IFERROR(__xludf.DUMMYFUNCTION("""COMPUTED_VALUE"""),2023)</f>
        <v>2023</v>
      </c>
      <c r="Q549" s="2" t="str">
        <f ca="1">IFERROR(__xludf.DUMMYFUNCTION("""COMPUTED_VALUE"""),"0611")</f>
        <v>0611</v>
      </c>
      <c r="R549" s="2" t="str">
        <f ca="1">IFERROR(__xludf.DUMMYFUNCTION("""COMPUTED_VALUE"""),"18.003.0015.0121.0140.1030.33.90.39")</f>
        <v>18.003.0015.0121.0140.1030.33.90.39</v>
      </c>
      <c r="S549" s="2" t="str">
        <f ca="1">IFERROR(__xludf.DUMMYFUNCTION("""COMPUTED_VALUE"""),"0000")</f>
        <v>0000</v>
      </c>
      <c r="T549" s="2">
        <f ca="1">IFERROR(__xludf.DUMMYFUNCTION("""COMPUTED_VALUE"""),2024)</f>
        <v>2024</v>
      </c>
      <c r="U549" s="2" t="str">
        <f ca="1">IFERROR(__xludf.DUMMYFUNCTION("""COMPUTED_VALUE"""),"1125")</f>
        <v>1125</v>
      </c>
      <c r="V549" s="2" t="str">
        <f ca="1">IFERROR(__xludf.DUMMYFUNCTION("""COMPUTED_VALUE"""),"11.008.0027.0812.0083.1086.44.90.52")</f>
        <v>11.008.0027.0812.0083.1086.44.90.52</v>
      </c>
      <c r="W549" s="2" t="str">
        <f ca="1">IFERROR(__xludf.DUMMYFUNCTION("""COMPUTED_VALUE"""),"0")</f>
        <v>0</v>
      </c>
      <c r="X549" s="2"/>
      <c r="Y549" s="2"/>
      <c r="Z549" s="2"/>
      <c r="AA549" s="2"/>
      <c r="AB549" s="2"/>
      <c r="AC549" s="2"/>
      <c r="AD549" s="2"/>
      <c r="AE549" s="2"/>
      <c r="AF549" s="2"/>
    </row>
    <row r="550" spans="1:32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>
        <f ca="1">IFERROR(__xludf.DUMMYFUNCTION("""COMPUTED_VALUE"""),2023)</f>
        <v>2023</v>
      </c>
      <c r="Q550" s="2" t="str">
        <f ca="1">IFERROR(__xludf.DUMMYFUNCTION("""COMPUTED_VALUE"""),"0612")</f>
        <v>0612</v>
      </c>
      <c r="R550" s="2" t="str">
        <f ca="1">IFERROR(__xludf.DUMMYFUNCTION("""COMPUTED_VALUE"""),"18.003.0015.0121.0140.1030.33.90.39")</f>
        <v>18.003.0015.0121.0140.1030.33.90.39</v>
      </c>
      <c r="S550" s="2" t="str">
        <f ca="1">IFERROR(__xludf.DUMMYFUNCTION("""COMPUTED_VALUE"""),"00509")</f>
        <v>00509</v>
      </c>
      <c r="T550" s="2">
        <f ca="1">IFERROR(__xludf.DUMMYFUNCTION("""COMPUTED_VALUE"""),2024)</f>
        <v>2024</v>
      </c>
      <c r="U550" s="2" t="str">
        <f ca="1">IFERROR(__xludf.DUMMYFUNCTION("""COMPUTED_VALUE"""),"1127")</f>
        <v>1127</v>
      </c>
      <c r="V550" s="2" t="str">
        <f ca="1">IFERROR(__xludf.DUMMYFUNCTION("""COMPUTED_VALUE"""),"11.008.0027.0812.0083.2162.33.90.31")</f>
        <v>11.008.0027.0812.0083.2162.33.90.31</v>
      </c>
      <c r="W550" s="2" t="str">
        <f ca="1">IFERROR(__xludf.DUMMYFUNCTION("""COMPUTED_VALUE"""),"0")</f>
        <v>0</v>
      </c>
      <c r="X550" s="2"/>
      <c r="Y550" s="2"/>
      <c r="Z550" s="2"/>
      <c r="AA550" s="2"/>
      <c r="AB550" s="2"/>
      <c r="AC550" s="2"/>
      <c r="AD550" s="2"/>
      <c r="AE550" s="2"/>
      <c r="AF550" s="2"/>
    </row>
    <row r="551" spans="1:32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>
        <f ca="1">IFERROR(__xludf.DUMMYFUNCTION("""COMPUTED_VALUE"""),2023)</f>
        <v>2023</v>
      </c>
      <c r="Q551" s="2" t="str">
        <f ca="1">IFERROR(__xludf.DUMMYFUNCTION("""COMPUTED_VALUE"""),"0613")</f>
        <v>0613</v>
      </c>
      <c r="R551" s="2" t="str">
        <f ca="1">IFERROR(__xludf.DUMMYFUNCTION("""COMPUTED_VALUE"""),"18.004.0015.0182.0140.1076.33.90.39")</f>
        <v>18.004.0015.0182.0140.1076.33.90.39</v>
      </c>
      <c r="S551" s="2" t="str">
        <f ca="1">IFERROR(__xludf.DUMMYFUNCTION("""COMPUTED_VALUE"""),"0000")</f>
        <v>0000</v>
      </c>
      <c r="T551" s="2">
        <f ca="1">IFERROR(__xludf.DUMMYFUNCTION("""COMPUTED_VALUE"""),2024)</f>
        <v>2024</v>
      </c>
      <c r="U551" s="2" t="str">
        <f ca="1">IFERROR(__xludf.DUMMYFUNCTION("""COMPUTED_VALUE"""),"1133")</f>
        <v>1133</v>
      </c>
      <c r="V551" s="2" t="str">
        <f ca="1">IFERROR(__xludf.DUMMYFUNCTION("""COMPUTED_VALUE"""),"11.008.0027.0812.0083.2162.33.90.32")</f>
        <v>11.008.0027.0812.0083.2162.33.90.32</v>
      </c>
      <c r="W551" s="2" t="str">
        <f ca="1">IFERROR(__xludf.DUMMYFUNCTION("""COMPUTED_VALUE"""),"0")</f>
        <v>0</v>
      </c>
      <c r="X551" s="2"/>
      <c r="Y551" s="2"/>
      <c r="Z551" s="2"/>
      <c r="AA551" s="2"/>
      <c r="AB551" s="2"/>
      <c r="AC551" s="2"/>
      <c r="AD551" s="2"/>
      <c r="AE551" s="2"/>
      <c r="AF551" s="2"/>
    </row>
    <row r="552" spans="1:3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>
        <f ca="1">IFERROR(__xludf.DUMMYFUNCTION("""COMPUTED_VALUE"""),2023)</f>
        <v>2023</v>
      </c>
      <c r="Q552" s="2" t="str">
        <f ca="1">IFERROR(__xludf.DUMMYFUNCTION("""COMPUTED_VALUE"""),"0614")</f>
        <v>0614</v>
      </c>
      <c r="R552" s="2" t="str">
        <f ca="1">IFERROR(__xludf.DUMMYFUNCTION("""COMPUTED_VALUE"""),"18.004.0015.0182.0140.1076.33.90.39")</f>
        <v>18.004.0015.0182.0140.1076.33.90.39</v>
      </c>
      <c r="S552" s="2" t="str">
        <f ca="1">IFERROR(__xludf.DUMMYFUNCTION("""COMPUTED_VALUE"""),"00509")</f>
        <v>00509</v>
      </c>
      <c r="T552" s="2">
        <f ca="1">IFERROR(__xludf.DUMMYFUNCTION("""COMPUTED_VALUE"""),2024)</f>
        <v>2024</v>
      </c>
      <c r="U552" s="2" t="str">
        <f ca="1">IFERROR(__xludf.DUMMYFUNCTION("""COMPUTED_VALUE"""),"1134")</f>
        <v>1134</v>
      </c>
      <c r="V552" s="2" t="str">
        <f ca="1">IFERROR(__xludf.DUMMYFUNCTION("""COMPUTED_VALUE"""),"11.008.0027.0812.0083.2162.33.90.39")</f>
        <v>11.008.0027.0812.0083.2162.33.90.39</v>
      </c>
      <c r="W552" s="2" t="str">
        <f ca="1">IFERROR(__xludf.DUMMYFUNCTION("""COMPUTED_VALUE"""),"0")</f>
        <v>0</v>
      </c>
      <c r="X552" s="2"/>
      <c r="Y552" s="2"/>
      <c r="Z552" s="2"/>
      <c r="AA552" s="2"/>
      <c r="AB552" s="2"/>
      <c r="AC552" s="2"/>
      <c r="AD552" s="2"/>
      <c r="AE552" s="2"/>
      <c r="AF552" s="2"/>
    </row>
    <row r="553" spans="1:32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>
        <f ca="1">IFERROR(__xludf.DUMMYFUNCTION("""COMPUTED_VALUE"""),2023)</f>
        <v>2023</v>
      </c>
      <c r="Q553" s="2" t="str">
        <f ca="1">IFERROR(__xludf.DUMMYFUNCTION("""COMPUTED_VALUE"""),"0615")</f>
        <v>0615</v>
      </c>
      <c r="R553" s="2" t="str">
        <f ca="1">IFERROR(__xludf.DUMMYFUNCTION("""COMPUTED_VALUE"""),"18.001.0004.0121.0140.2023.33.90.39")</f>
        <v>18.001.0004.0121.0140.2023.33.90.39</v>
      </c>
      <c r="S553" s="2" t="str">
        <f ca="1">IFERROR(__xludf.DUMMYFUNCTION("""COMPUTED_VALUE"""),"0000")</f>
        <v>0000</v>
      </c>
      <c r="T553" s="2">
        <f ca="1">IFERROR(__xludf.DUMMYFUNCTION("""COMPUTED_VALUE"""),2024)</f>
        <v>2024</v>
      </c>
      <c r="U553" s="2" t="str">
        <f ca="1">IFERROR(__xludf.DUMMYFUNCTION("""COMPUTED_VALUE"""),"1135")</f>
        <v>1135</v>
      </c>
      <c r="V553" s="2" t="str">
        <f ca="1">IFERROR(__xludf.DUMMYFUNCTION("""COMPUTED_VALUE"""),"11.008.0027.0812.0083.2163.33.50.43")</f>
        <v>11.008.0027.0812.0083.2163.33.50.43</v>
      </c>
      <c r="W553" s="2" t="str">
        <f ca="1">IFERROR(__xludf.DUMMYFUNCTION("""COMPUTED_VALUE"""),"0")</f>
        <v>0</v>
      </c>
      <c r="X553" s="2"/>
      <c r="Y553" s="2"/>
      <c r="Z553" s="2"/>
      <c r="AA553" s="2"/>
      <c r="AB553" s="2"/>
      <c r="AC553" s="2"/>
      <c r="AD553" s="2"/>
      <c r="AE553" s="2"/>
      <c r="AF553" s="2"/>
    </row>
    <row r="554" spans="1:32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>
        <f ca="1">IFERROR(__xludf.DUMMYFUNCTION("""COMPUTED_VALUE"""),2023)</f>
        <v>2023</v>
      </c>
      <c r="Q554" s="2" t="str">
        <f ca="1">IFERROR(__xludf.DUMMYFUNCTION("""COMPUTED_VALUE"""),"0616")</f>
        <v>0616</v>
      </c>
      <c r="R554" s="2" t="str">
        <f ca="1">IFERROR(__xludf.DUMMYFUNCTION("""COMPUTED_VALUE"""),"18.002.0006.0181.0140.2024.33.90.39")</f>
        <v>18.002.0006.0181.0140.2024.33.90.39</v>
      </c>
      <c r="S554" s="2" t="str">
        <f ca="1">IFERROR(__xludf.DUMMYFUNCTION("""COMPUTED_VALUE"""),"0000")</f>
        <v>0000</v>
      </c>
      <c r="T554" s="2">
        <f ca="1">IFERROR(__xludf.DUMMYFUNCTION("""COMPUTED_VALUE"""),2024)</f>
        <v>2024</v>
      </c>
      <c r="U554" s="2" t="str">
        <f ca="1">IFERROR(__xludf.DUMMYFUNCTION("""COMPUTED_VALUE"""),"1136")</f>
        <v>1136</v>
      </c>
      <c r="V554" s="2" t="str">
        <f ca="1">IFERROR(__xludf.DUMMYFUNCTION("""COMPUTED_VALUE"""),"11.008.0027.0812.0083.2163.33.60.45")</f>
        <v>11.008.0027.0812.0083.2163.33.60.45</v>
      </c>
      <c r="W554" s="2" t="str">
        <f ca="1">IFERROR(__xludf.DUMMYFUNCTION("""COMPUTED_VALUE"""),"38")</f>
        <v>38</v>
      </c>
      <c r="X554" s="2"/>
      <c r="Y554" s="2"/>
      <c r="Z554" s="2"/>
      <c r="AA554" s="2"/>
      <c r="AB554" s="2"/>
      <c r="AC554" s="2"/>
      <c r="AD554" s="2"/>
      <c r="AE554" s="2"/>
      <c r="AF554" s="2"/>
    </row>
    <row r="555" spans="1:32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>
        <f ca="1">IFERROR(__xludf.DUMMYFUNCTION("""COMPUTED_VALUE"""),2023)</f>
        <v>2023</v>
      </c>
      <c r="Q555" s="2" t="str">
        <f ca="1">IFERROR(__xludf.DUMMYFUNCTION("""COMPUTED_VALUE"""),"0617")</f>
        <v>0617</v>
      </c>
      <c r="R555" s="2" t="str">
        <f ca="1">IFERROR(__xludf.DUMMYFUNCTION("""COMPUTED_VALUE"""),"18.002.0006.0181.0140.2024.33.90.39")</f>
        <v>18.002.0006.0181.0140.2024.33.90.39</v>
      </c>
      <c r="S555" s="2" t="str">
        <f ca="1">IFERROR(__xludf.DUMMYFUNCTION("""COMPUTED_VALUE"""),"01011")</f>
        <v>01011</v>
      </c>
      <c r="T555" s="2">
        <f ca="1">IFERROR(__xludf.DUMMYFUNCTION("""COMPUTED_VALUE"""),2024)</f>
        <v>2024</v>
      </c>
      <c r="U555" s="2" t="str">
        <f ca="1">IFERROR(__xludf.DUMMYFUNCTION("""COMPUTED_VALUE"""),"1137")</f>
        <v>1137</v>
      </c>
      <c r="V555" s="2" t="str">
        <f ca="1">IFERROR(__xludf.DUMMYFUNCTION("""COMPUTED_VALUE"""),"11.008.0027.0812.0083.2163.33.90.36")</f>
        <v>11.008.0027.0812.0083.2163.33.90.36</v>
      </c>
      <c r="W555" s="2" t="str">
        <f ca="1">IFERROR(__xludf.DUMMYFUNCTION("""COMPUTED_VALUE"""),"38")</f>
        <v>38</v>
      </c>
      <c r="X555" s="2"/>
      <c r="Y555" s="2"/>
      <c r="Z555" s="2"/>
      <c r="AA555" s="2"/>
      <c r="AB555" s="2"/>
      <c r="AC555" s="2"/>
      <c r="AD555" s="2"/>
      <c r="AE555" s="2"/>
      <c r="AF555" s="2"/>
    </row>
    <row r="556" spans="1:32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>
        <f ca="1">IFERROR(__xludf.DUMMYFUNCTION("""COMPUTED_VALUE"""),2023)</f>
        <v>2023</v>
      </c>
      <c r="Q556" s="2" t="str">
        <f ca="1">IFERROR(__xludf.DUMMYFUNCTION("""COMPUTED_VALUE"""),"0618")</f>
        <v>0618</v>
      </c>
      <c r="R556" s="2" t="str">
        <f ca="1">IFERROR(__xludf.DUMMYFUNCTION("""COMPUTED_VALUE"""),"18.002.0006.0182.0140.2025.33.90.39")</f>
        <v>18.002.0006.0182.0140.2025.33.90.39</v>
      </c>
      <c r="S556" s="2" t="str">
        <f ca="1">IFERROR(__xludf.DUMMYFUNCTION("""COMPUTED_VALUE"""),"0000")</f>
        <v>0000</v>
      </c>
      <c r="T556" s="2">
        <f ca="1">IFERROR(__xludf.DUMMYFUNCTION("""COMPUTED_VALUE"""),2024)</f>
        <v>2024</v>
      </c>
      <c r="U556" s="2" t="str">
        <f ca="1">IFERROR(__xludf.DUMMYFUNCTION("""COMPUTED_VALUE"""),"1138")</f>
        <v>1138</v>
      </c>
      <c r="V556" s="2" t="str">
        <f ca="1">IFERROR(__xludf.DUMMYFUNCTION("""COMPUTED_VALUE"""),"11.008.0027.0812.0083.2163.33.90.39")</f>
        <v>11.008.0027.0812.0083.2163.33.90.39</v>
      </c>
      <c r="W556" s="2" t="str">
        <f ca="1">IFERROR(__xludf.DUMMYFUNCTION("""COMPUTED_VALUE"""),"38")</f>
        <v>38</v>
      </c>
      <c r="X556" s="2"/>
      <c r="Y556" s="2"/>
      <c r="Z556" s="2"/>
      <c r="AA556" s="2"/>
      <c r="AB556" s="2"/>
      <c r="AC556" s="2"/>
      <c r="AD556" s="2"/>
      <c r="AE556" s="2"/>
      <c r="AF556" s="2"/>
    </row>
    <row r="557" spans="1:32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>
        <f ca="1">IFERROR(__xludf.DUMMYFUNCTION("""COMPUTED_VALUE"""),2023)</f>
        <v>2023</v>
      </c>
      <c r="Q557" s="2" t="str">
        <f ca="1">IFERROR(__xludf.DUMMYFUNCTION("""COMPUTED_VALUE"""),"0619")</f>
        <v>0619</v>
      </c>
      <c r="R557" s="2" t="str">
        <f ca="1">IFERROR(__xludf.DUMMYFUNCTION("""COMPUTED_VALUE"""),"18.002.0006.0182.0140.2026.33.90.39")</f>
        <v>18.002.0006.0182.0140.2026.33.90.39</v>
      </c>
      <c r="S557" s="2" t="str">
        <f ca="1">IFERROR(__xludf.DUMMYFUNCTION("""COMPUTED_VALUE"""),"0000")</f>
        <v>0000</v>
      </c>
      <c r="T557" s="2">
        <f ca="1">IFERROR(__xludf.DUMMYFUNCTION("""COMPUTED_VALUE"""),2024)</f>
        <v>2024</v>
      </c>
      <c r="U557" s="2" t="str">
        <f ca="1">IFERROR(__xludf.DUMMYFUNCTION("""COMPUTED_VALUE"""),"1139")</f>
        <v>1139</v>
      </c>
      <c r="V557" s="2" t="str">
        <f ca="1">IFERROR(__xludf.DUMMYFUNCTION("""COMPUTED_VALUE"""),"11.008.0027.0812.0083.2163.33.90.48")</f>
        <v>11.008.0027.0812.0083.2163.33.90.48</v>
      </c>
      <c r="W557" s="2" t="str">
        <f ca="1">IFERROR(__xludf.DUMMYFUNCTION("""COMPUTED_VALUE"""),"38")</f>
        <v>38</v>
      </c>
      <c r="X557" s="2"/>
      <c r="Y557" s="2"/>
      <c r="Z557" s="2"/>
      <c r="AA557" s="2"/>
      <c r="AB557" s="2"/>
      <c r="AC557" s="2"/>
      <c r="AD557" s="2"/>
      <c r="AE557" s="2"/>
      <c r="AF557" s="2"/>
    </row>
    <row r="558" spans="1:32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>
        <f ca="1">IFERROR(__xludf.DUMMYFUNCTION("""COMPUTED_VALUE"""),2023)</f>
        <v>2023</v>
      </c>
      <c r="Q558" s="2" t="str">
        <f ca="1">IFERROR(__xludf.DUMMYFUNCTION("""COMPUTED_VALUE"""),"0620")</f>
        <v>0620</v>
      </c>
      <c r="R558" s="2" t="str">
        <f ca="1">IFERROR(__xludf.DUMMYFUNCTION("""COMPUTED_VALUE"""),"18.003.0015.0452.0140.2027.33.90.39")</f>
        <v>18.003.0015.0452.0140.2027.33.90.39</v>
      </c>
      <c r="S558" s="2" t="str">
        <f ca="1">IFERROR(__xludf.DUMMYFUNCTION("""COMPUTED_VALUE"""),"0000")</f>
        <v>0000</v>
      </c>
      <c r="T558" s="2">
        <f ca="1">IFERROR(__xludf.DUMMYFUNCTION("""COMPUTED_VALUE"""),2024)</f>
        <v>2024</v>
      </c>
      <c r="U558" s="2" t="str">
        <f ca="1">IFERROR(__xludf.DUMMYFUNCTION("""COMPUTED_VALUE"""),"1140")</f>
        <v>1140</v>
      </c>
      <c r="V558" s="2" t="str">
        <f ca="1">IFERROR(__xludf.DUMMYFUNCTION("""COMPUTED_VALUE"""),"11.008.0027.0812.0083.2163.44.90.52")</f>
        <v>11.008.0027.0812.0083.2163.44.90.52</v>
      </c>
      <c r="W558" s="2" t="str">
        <f ca="1">IFERROR(__xludf.DUMMYFUNCTION("""COMPUTED_VALUE"""),"38")</f>
        <v>38</v>
      </c>
      <c r="X558" s="2"/>
      <c r="Y558" s="2"/>
      <c r="Z558" s="2"/>
      <c r="AA558" s="2"/>
      <c r="AB558" s="2"/>
      <c r="AC558" s="2"/>
      <c r="AD558" s="2"/>
      <c r="AE558" s="2"/>
      <c r="AF558" s="2"/>
    </row>
    <row r="559" spans="1:32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>
        <f ca="1">IFERROR(__xludf.DUMMYFUNCTION("""COMPUTED_VALUE"""),2023)</f>
        <v>2023</v>
      </c>
      <c r="Q559" s="2" t="str">
        <f ca="1">IFERROR(__xludf.DUMMYFUNCTION("""COMPUTED_VALUE"""),"0621")</f>
        <v>0621</v>
      </c>
      <c r="R559" s="2" t="str">
        <f ca="1">IFERROR(__xludf.DUMMYFUNCTION("""COMPUTED_VALUE"""),"18.003.0015.0452.0140.2027.33.90.39")</f>
        <v>18.003.0015.0452.0140.2027.33.90.39</v>
      </c>
      <c r="S559" s="2" t="str">
        <f ca="1">IFERROR(__xludf.DUMMYFUNCTION("""COMPUTED_VALUE"""),"00509")</f>
        <v>00509</v>
      </c>
      <c r="T559" s="2">
        <f ca="1">IFERROR(__xludf.DUMMYFUNCTION("""COMPUTED_VALUE"""),2024)</f>
        <v>2024</v>
      </c>
      <c r="U559" s="2" t="str">
        <f ca="1">IFERROR(__xludf.DUMMYFUNCTION("""COMPUTED_VALUE"""),"1141")</f>
        <v>1141</v>
      </c>
      <c r="V559" s="2" t="str">
        <f ca="1">IFERROR(__xludf.DUMMYFUNCTION("""COMPUTED_VALUE"""),"11.009.0027.0243.0083.6030.33.90.30")</f>
        <v>11.009.0027.0243.0083.6030.33.90.30</v>
      </c>
      <c r="W559" s="2" t="str">
        <f ca="1">IFERROR(__xludf.DUMMYFUNCTION("""COMPUTED_VALUE"""),"38")</f>
        <v>38</v>
      </c>
      <c r="X559" s="2"/>
      <c r="Y559" s="2"/>
      <c r="Z559" s="2"/>
      <c r="AA559" s="2"/>
      <c r="AB559" s="2"/>
      <c r="AC559" s="2"/>
      <c r="AD559" s="2"/>
      <c r="AE559" s="2"/>
      <c r="AF559" s="2"/>
    </row>
    <row r="560" spans="1:32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>
        <f ca="1">IFERROR(__xludf.DUMMYFUNCTION("""COMPUTED_VALUE"""),2023)</f>
        <v>2023</v>
      </c>
      <c r="Q560" s="2" t="str">
        <f ca="1">IFERROR(__xludf.DUMMYFUNCTION("""COMPUTED_VALUE"""),"0622")</f>
        <v>0622</v>
      </c>
      <c r="R560" s="2" t="str">
        <f ca="1">IFERROR(__xludf.DUMMYFUNCTION("""COMPUTED_VALUE"""),"18.004.0006.0181.0140.2142.33.90.39")</f>
        <v>18.004.0006.0181.0140.2142.33.90.39</v>
      </c>
      <c r="S560" s="2" t="str">
        <f ca="1">IFERROR(__xludf.DUMMYFUNCTION("""COMPUTED_VALUE"""),"0000")</f>
        <v>0000</v>
      </c>
      <c r="T560" s="2">
        <f ca="1">IFERROR(__xludf.DUMMYFUNCTION("""COMPUTED_VALUE"""),2024)</f>
        <v>2024</v>
      </c>
      <c r="U560" s="2" t="str">
        <f ca="1">IFERROR(__xludf.DUMMYFUNCTION("""COMPUTED_VALUE"""),"1151")</f>
        <v>1151</v>
      </c>
      <c r="V560" s="2" t="str">
        <f ca="1">IFERROR(__xludf.DUMMYFUNCTION("""COMPUTED_VALUE"""),"11.009.0027.0243.0083.6030.33.90.39")</f>
        <v>11.009.0027.0243.0083.6030.33.90.39</v>
      </c>
      <c r="W560" s="2" t="str">
        <f ca="1">IFERROR(__xludf.DUMMYFUNCTION("""COMPUTED_VALUE"""),"0")</f>
        <v>0</v>
      </c>
      <c r="X560" s="2"/>
      <c r="Y560" s="2"/>
      <c r="Z560" s="2"/>
      <c r="AA560" s="2"/>
      <c r="AB560" s="2"/>
      <c r="AC560" s="2"/>
      <c r="AD560" s="2"/>
      <c r="AE560" s="2"/>
      <c r="AF560" s="2"/>
    </row>
    <row r="561" spans="1:32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>
        <f ca="1">IFERROR(__xludf.DUMMYFUNCTION("""COMPUTED_VALUE"""),2023)</f>
        <v>2023</v>
      </c>
      <c r="Q561" s="2" t="str">
        <f ca="1">IFERROR(__xludf.DUMMYFUNCTION("""COMPUTED_VALUE"""),"0623")</f>
        <v>0623</v>
      </c>
      <c r="R561" s="2" t="str">
        <f ca="1">IFERROR(__xludf.DUMMYFUNCTION("""COMPUTED_VALUE"""),"18.004.0006.0181.0140.2142.33.90.39")</f>
        <v>18.004.0006.0181.0140.2142.33.90.39</v>
      </c>
      <c r="S561" s="2" t="str">
        <f ca="1">IFERROR(__xludf.DUMMYFUNCTION("""COMPUTED_VALUE"""),"01011")</f>
        <v>01011</v>
      </c>
      <c r="T561" s="2">
        <f ca="1">IFERROR(__xludf.DUMMYFUNCTION("""COMPUTED_VALUE"""),2024)</f>
        <v>2024</v>
      </c>
      <c r="U561" s="2" t="str">
        <f ca="1">IFERROR(__xludf.DUMMYFUNCTION("""COMPUTED_VALUE"""),"1153")</f>
        <v>1153</v>
      </c>
      <c r="V561" s="2" t="str">
        <f ca="1">IFERROR(__xludf.DUMMYFUNCTION("""COMPUTED_VALUE"""),"11.009.0027.0813.0083.1085.44.90.30")</f>
        <v>11.009.0027.0813.0083.1085.44.90.30</v>
      </c>
      <c r="W561" s="2" t="str">
        <f ca="1">IFERROR(__xludf.DUMMYFUNCTION("""COMPUTED_VALUE"""),"0")</f>
        <v>0</v>
      </c>
      <c r="X561" s="2"/>
      <c r="Y561" s="2"/>
      <c r="Z561" s="2"/>
      <c r="AA561" s="2"/>
      <c r="AB561" s="2"/>
      <c r="AC561" s="2"/>
      <c r="AD561" s="2"/>
      <c r="AE561" s="2"/>
      <c r="AF561" s="2"/>
    </row>
    <row r="562" spans="1:3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>
        <f ca="1">IFERROR(__xludf.DUMMYFUNCTION("""COMPUTED_VALUE"""),2023)</f>
        <v>2023</v>
      </c>
      <c r="Q562" s="2" t="str">
        <f ca="1">IFERROR(__xludf.DUMMYFUNCTION("""COMPUTED_VALUE"""),"0624")</f>
        <v>0624</v>
      </c>
      <c r="R562" s="2" t="str">
        <f ca="1">IFERROR(__xludf.DUMMYFUNCTION("""COMPUTED_VALUE"""),"18.004.0006.0182.0140.2143.33.90.39")</f>
        <v>18.004.0006.0182.0140.2143.33.90.39</v>
      </c>
      <c r="S562" s="2" t="str">
        <f ca="1">IFERROR(__xludf.DUMMYFUNCTION("""COMPUTED_VALUE"""),"0000")</f>
        <v>0000</v>
      </c>
      <c r="T562" s="2">
        <f ca="1">IFERROR(__xludf.DUMMYFUNCTION("""COMPUTED_VALUE"""),2024)</f>
        <v>2024</v>
      </c>
      <c r="U562" s="2" t="str">
        <f ca="1">IFERROR(__xludf.DUMMYFUNCTION("""COMPUTED_VALUE"""),"1145")</f>
        <v>1145</v>
      </c>
      <c r="V562" s="2" t="str">
        <f ca="1">IFERROR(__xludf.DUMMYFUNCTION("""COMPUTED_VALUE"""),"11.009.0027.0813.0083.1085.44.90.52")</f>
        <v>11.009.0027.0813.0083.1085.44.90.52</v>
      </c>
      <c r="W562" s="2" t="str">
        <f ca="1">IFERROR(__xludf.DUMMYFUNCTION("""COMPUTED_VALUE"""),"0")</f>
        <v>0</v>
      </c>
      <c r="X562" s="2"/>
      <c r="Y562" s="2"/>
      <c r="Z562" s="2"/>
      <c r="AA562" s="2"/>
      <c r="AB562" s="2"/>
      <c r="AC562" s="2"/>
      <c r="AD562" s="2"/>
      <c r="AE562" s="2"/>
      <c r="AF562" s="2"/>
    </row>
    <row r="563" spans="1:32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>
        <f ca="1">IFERROR(__xludf.DUMMYFUNCTION("""COMPUTED_VALUE"""),2023)</f>
        <v>2023</v>
      </c>
      <c r="Q563" s="2" t="str">
        <f ca="1">IFERROR(__xludf.DUMMYFUNCTION("""COMPUTED_VALUE"""),"0625")</f>
        <v>0625</v>
      </c>
      <c r="R563" s="2" t="str">
        <f ca="1">IFERROR(__xludf.DUMMYFUNCTION("""COMPUTED_VALUE"""),"18.004.0006.0182.0140.2144.33.90.39")</f>
        <v>18.004.0006.0182.0140.2144.33.90.39</v>
      </c>
      <c r="S563" s="2" t="str">
        <f ca="1">IFERROR(__xludf.DUMMYFUNCTION("""COMPUTED_VALUE"""),"0000")</f>
        <v>0000</v>
      </c>
      <c r="T563" s="2">
        <f ca="1">IFERROR(__xludf.DUMMYFUNCTION("""COMPUTED_VALUE"""),2024)</f>
        <v>2024</v>
      </c>
      <c r="U563" s="2" t="str">
        <f ca="1">IFERROR(__xludf.DUMMYFUNCTION("""COMPUTED_VALUE"""),"1147")</f>
        <v>1147</v>
      </c>
      <c r="V563" s="2" t="str">
        <f ca="1">IFERROR(__xludf.DUMMYFUNCTION("""COMPUTED_VALUE"""),"11.009.0027.0813.0083.2160.33.90.30")</f>
        <v>11.009.0027.0813.0083.2160.33.90.30</v>
      </c>
      <c r="W563" s="2" t="str">
        <f ca="1">IFERROR(__xludf.DUMMYFUNCTION("""COMPUTED_VALUE"""),"0")</f>
        <v>0</v>
      </c>
      <c r="X563" s="2"/>
      <c r="Y563" s="2"/>
      <c r="Z563" s="2"/>
      <c r="AA563" s="2"/>
      <c r="AB563" s="2"/>
      <c r="AC563" s="2"/>
      <c r="AD563" s="2"/>
      <c r="AE563" s="2"/>
      <c r="AF563" s="2"/>
    </row>
    <row r="564" spans="1:32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>
        <f ca="1">IFERROR(__xludf.DUMMYFUNCTION("""COMPUTED_VALUE"""),2023)</f>
        <v>2023</v>
      </c>
      <c r="Q564" s="2" t="str">
        <f ca="1">IFERROR(__xludf.DUMMYFUNCTION("""COMPUTED_VALUE"""),"0626")</f>
        <v>0626</v>
      </c>
      <c r="R564" s="2" t="str">
        <f ca="1">IFERROR(__xludf.DUMMYFUNCTION("""COMPUTED_VALUE"""),"18.004.0015.0452.0140.2145.33.90.39")</f>
        <v>18.004.0015.0452.0140.2145.33.90.39</v>
      </c>
      <c r="S564" s="2" t="str">
        <f ca="1">IFERROR(__xludf.DUMMYFUNCTION("""COMPUTED_VALUE"""),"0000")</f>
        <v>0000</v>
      </c>
      <c r="T564" s="2">
        <f ca="1">IFERROR(__xludf.DUMMYFUNCTION("""COMPUTED_VALUE"""),2024)</f>
        <v>2024</v>
      </c>
      <c r="U564" s="2" t="str">
        <f ca="1">IFERROR(__xludf.DUMMYFUNCTION("""COMPUTED_VALUE"""),"1148")</f>
        <v>1148</v>
      </c>
      <c r="V564" s="2" t="str">
        <f ca="1">IFERROR(__xludf.DUMMYFUNCTION("""COMPUTED_VALUE"""),"11.009.0027.0813.0083.2160.33.90.32")</f>
        <v>11.009.0027.0813.0083.2160.33.90.32</v>
      </c>
      <c r="W564" s="2" t="str">
        <f ca="1">IFERROR(__xludf.DUMMYFUNCTION("""COMPUTED_VALUE"""),"0")</f>
        <v>0</v>
      </c>
      <c r="X564" s="2"/>
      <c r="Y564" s="2"/>
      <c r="Z564" s="2"/>
      <c r="AA564" s="2"/>
      <c r="AB564" s="2"/>
      <c r="AC564" s="2"/>
      <c r="AD564" s="2"/>
      <c r="AE564" s="2"/>
      <c r="AF564" s="2"/>
    </row>
    <row r="565" spans="1:32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>
        <f ca="1">IFERROR(__xludf.DUMMYFUNCTION("""COMPUTED_VALUE"""),2023)</f>
        <v>2023</v>
      </c>
      <c r="Q565" s="2" t="str">
        <f ca="1">IFERROR(__xludf.DUMMYFUNCTION("""COMPUTED_VALUE"""),"0627")</f>
        <v>0627</v>
      </c>
      <c r="R565" s="2" t="str">
        <f ca="1">IFERROR(__xludf.DUMMYFUNCTION("""COMPUTED_VALUE"""),"02.001.0004.0121.0022.2104.33.90.40")</f>
        <v>02.001.0004.0121.0022.2104.33.90.40</v>
      </c>
      <c r="S565" s="2" t="str">
        <f ca="1">IFERROR(__xludf.DUMMYFUNCTION("""COMPUTED_VALUE"""),"0000")</f>
        <v>0000</v>
      </c>
      <c r="T565" s="2">
        <f ca="1">IFERROR(__xludf.DUMMYFUNCTION("""COMPUTED_VALUE"""),2024)</f>
        <v>2024</v>
      </c>
      <c r="U565" s="2" t="str">
        <f ca="1">IFERROR(__xludf.DUMMYFUNCTION("""COMPUTED_VALUE"""),"1149")</f>
        <v>1149</v>
      </c>
      <c r="V565" s="2" t="str">
        <f ca="1">IFERROR(__xludf.DUMMYFUNCTION("""COMPUTED_VALUE"""),"11.009.0027.0813.0083.2160.33.90.39")</f>
        <v>11.009.0027.0813.0083.2160.33.90.39</v>
      </c>
      <c r="W565" s="2" t="str">
        <f ca="1">IFERROR(__xludf.DUMMYFUNCTION("""COMPUTED_VALUE"""),"0")</f>
        <v>0</v>
      </c>
      <c r="X565" s="2"/>
      <c r="Y565" s="2"/>
      <c r="Z565" s="2"/>
      <c r="AA565" s="2"/>
      <c r="AB565" s="2"/>
      <c r="AC565" s="2"/>
      <c r="AD565" s="2"/>
      <c r="AE565" s="2"/>
      <c r="AF565" s="2"/>
    </row>
    <row r="566" spans="1:32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>
        <f ca="1">IFERROR(__xludf.DUMMYFUNCTION("""COMPUTED_VALUE"""),2023)</f>
        <v>2023</v>
      </c>
      <c r="Q566" s="2" t="str">
        <f ca="1">IFERROR(__xludf.DUMMYFUNCTION("""COMPUTED_VALUE"""),"0628")</f>
        <v>0628</v>
      </c>
      <c r="R566" s="2" t="str">
        <f ca="1">IFERROR(__xludf.DUMMYFUNCTION("""COMPUTED_VALUE"""),"03.001.0004.0122.0030.2033.33.90.40")</f>
        <v>03.001.0004.0122.0030.2033.33.90.40</v>
      </c>
      <c r="S566" s="2" t="str">
        <f ca="1">IFERROR(__xludf.DUMMYFUNCTION("""COMPUTED_VALUE"""),"0000")</f>
        <v>0000</v>
      </c>
      <c r="T566" s="2">
        <f ca="1">IFERROR(__xludf.DUMMYFUNCTION("""COMPUTED_VALUE"""),2024)</f>
        <v>2024</v>
      </c>
      <c r="U566" s="2" t="str">
        <f ca="1">IFERROR(__xludf.DUMMYFUNCTION("""COMPUTED_VALUE"""),"1150")</f>
        <v>1150</v>
      </c>
      <c r="V566" s="2" t="str">
        <f ca="1">IFERROR(__xludf.DUMMYFUNCTION("""COMPUTED_VALUE"""),"12.001.0004.0122.0113.2129.33.90.14")</f>
        <v>12.001.0004.0122.0113.2129.33.90.14</v>
      </c>
      <c r="W566" s="2" t="str">
        <f ca="1">IFERROR(__xludf.DUMMYFUNCTION("""COMPUTED_VALUE"""),"0")</f>
        <v>0</v>
      </c>
      <c r="X566" s="2"/>
      <c r="Y566" s="2"/>
      <c r="Z566" s="2"/>
      <c r="AA566" s="2"/>
      <c r="AB566" s="2"/>
      <c r="AC566" s="2"/>
      <c r="AD566" s="2"/>
      <c r="AE566" s="2"/>
      <c r="AF566" s="2"/>
    </row>
    <row r="567" spans="1:32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>
        <f ca="1">IFERROR(__xludf.DUMMYFUNCTION("""COMPUTED_VALUE"""),2023)</f>
        <v>2023</v>
      </c>
      <c r="Q567" s="2" t="str">
        <f ca="1">IFERROR(__xludf.DUMMYFUNCTION("""COMPUTED_VALUE"""),"0629")</f>
        <v>0629</v>
      </c>
      <c r="R567" s="2" t="str">
        <f ca="1">IFERROR(__xludf.DUMMYFUNCTION("""COMPUTED_VALUE"""),"04.004.0004.0122.0040.1001.33.90.40")</f>
        <v>04.004.0004.0122.0040.1001.33.90.40</v>
      </c>
      <c r="S567" s="2" t="str">
        <f ca="1">IFERROR(__xludf.DUMMYFUNCTION("""COMPUTED_VALUE"""),"0000")</f>
        <v>0000</v>
      </c>
      <c r="T567" s="2">
        <f ca="1">IFERROR(__xludf.DUMMYFUNCTION("""COMPUTED_VALUE"""),2024)</f>
        <v>2024</v>
      </c>
      <c r="U567" s="2" t="str">
        <f ca="1">IFERROR(__xludf.DUMMYFUNCTION("""COMPUTED_VALUE"""),"0734")</f>
        <v>0734</v>
      </c>
      <c r="V567" s="2" t="str">
        <f ca="1">IFERROR(__xludf.DUMMYFUNCTION("""COMPUTED_VALUE"""),"12.001.0004.0122.0113.2129.33.90.30")</f>
        <v>12.001.0004.0122.0113.2129.33.90.30</v>
      </c>
      <c r="W567" s="2" t="str">
        <f ca="1">IFERROR(__xludf.DUMMYFUNCTION("""COMPUTED_VALUE"""),"0")</f>
        <v>0</v>
      </c>
      <c r="X567" s="2"/>
      <c r="Y567" s="2"/>
      <c r="Z567" s="2"/>
      <c r="AA567" s="2"/>
      <c r="AB567" s="2"/>
      <c r="AC567" s="2"/>
      <c r="AD567" s="2"/>
      <c r="AE567" s="2"/>
      <c r="AF567" s="2"/>
    </row>
    <row r="568" spans="1:32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>
        <f ca="1">IFERROR(__xludf.DUMMYFUNCTION("""COMPUTED_VALUE"""),2023)</f>
        <v>2023</v>
      </c>
      <c r="Q568" s="2" t="str">
        <f ca="1">IFERROR(__xludf.DUMMYFUNCTION("""COMPUTED_VALUE"""),"0630")</f>
        <v>0630</v>
      </c>
      <c r="R568" s="2" t="str">
        <f ca="1">IFERROR(__xludf.DUMMYFUNCTION("""COMPUTED_VALUE"""),"04.004.0004.0122.0040.2138.33.90.40")</f>
        <v>04.004.0004.0122.0040.2138.33.90.40</v>
      </c>
      <c r="S568" s="2" t="str">
        <f ca="1">IFERROR(__xludf.DUMMYFUNCTION("""COMPUTED_VALUE"""),"0000")</f>
        <v>0000</v>
      </c>
      <c r="T568" s="2">
        <f ca="1">IFERROR(__xludf.DUMMYFUNCTION("""COMPUTED_VALUE"""),2024)</f>
        <v>2024</v>
      </c>
      <c r="U568" s="2" t="str">
        <f ca="1">IFERROR(__xludf.DUMMYFUNCTION("""COMPUTED_VALUE"""),"0735")</f>
        <v>0735</v>
      </c>
      <c r="V568" s="2" t="str">
        <f ca="1">IFERROR(__xludf.DUMMYFUNCTION("""COMPUTED_VALUE"""),"12.001.0004.0122.0113.2129.33.90.32")</f>
        <v>12.001.0004.0122.0113.2129.33.90.32</v>
      </c>
      <c r="W568" s="2" t="str">
        <f ca="1">IFERROR(__xludf.DUMMYFUNCTION("""COMPUTED_VALUE"""),"0")</f>
        <v>0</v>
      </c>
      <c r="X568" s="2"/>
      <c r="Y568" s="2"/>
      <c r="Z568" s="2"/>
      <c r="AA568" s="2"/>
      <c r="AB568" s="2"/>
      <c r="AC568" s="2"/>
      <c r="AD568" s="2"/>
      <c r="AE568" s="2"/>
      <c r="AF568" s="2"/>
    </row>
    <row r="569" spans="1:32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>
        <f ca="1">IFERROR(__xludf.DUMMYFUNCTION("""COMPUTED_VALUE"""),2023)</f>
        <v>2023</v>
      </c>
      <c r="Q569" s="2" t="str">
        <f ca="1">IFERROR(__xludf.DUMMYFUNCTION("""COMPUTED_VALUE"""),"0631")</f>
        <v>0631</v>
      </c>
      <c r="R569" s="2" t="str">
        <f ca="1">IFERROR(__xludf.DUMMYFUNCTION("""COMPUTED_VALUE"""),"13.001.0004.0124.0051.2048.33.90.40")</f>
        <v>13.001.0004.0124.0051.2048.33.90.40</v>
      </c>
      <c r="S569" s="2" t="str">
        <f ca="1">IFERROR(__xludf.DUMMYFUNCTION("""COMPUTED_VALUE"""),"0000")</f>
        <v>0000</v>
      </c>
      <c r="T569" s="2">
        <f ca="1">IFERROR(__xludf.DUMMYFUNCTION("""COMPUTED_VALUE"""),2024)</f>
        <v>2024</v>
      </c>
      <c r="U569" s="2" t="str">
        <f ca="1">IFERROR(__xludf.DUMMYFUNCTION("""COMPUTED_VALUE"""),"1175")</f>
        <v>1175</v>
      </c>
      <c r="V569" s="2" t="str">
        <f ca="1">IFERROR(__xludf.DUMMYFUNCTION("""COMPUTED_VALUE"""),"12.001.0004.0122.0113.2129.33.90.36")</f>
        <v>12.001.0004.0122.0113.2129.33.90.36</v>
      </c>
      <c r="W569" s="2" t="str">
        <f ca="1">IFERROR(__xludf.DUMMYFUNCTION("""COMPUTED_VALUE"""),"0")</f>
        <v>0</v>
      </c>
      <c r="X569" s="2"/>
      <c r="Y569" s="2"/>
      <c r="Z569" s="2"/>
      <c r="AA569" s="2"/>
      <c r="AB569" s="2"/>
      <c r="AC569" s="2"/>
      <c r="AD569" s="2"/>
      <c r="AE569" s="2"/>
      <c r="AF569" s="2"/>
    </row>
    <row r="570" spans="1:32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>
        <f ca="1">IFERROR(__xludf.DUMMYFUNCTION("""COMPUTED_VALUE"""),2023)</f>
        <v>2023</v>
      </c>
      <c r="Q570" s="2" t="str">
        <f ca="1">IFERROR(__xludf.DUMMYFUNCTION("""COMPUTED_VALUE"""),"0632")</f>
        <v>0632</v>
      </c>
      <c r="R570" s="2" t="str">
        <f ca="1">IFERROR(__xludf.DUMMYFUNCTION("""COMPUTED_VALUE"""),"05.001.0012.0361.0074.6012.33.90.40")</f>
        <v>05.001.0012.0361.0074.6012.33.90.40</v>
      </c>
      <c r="S570" s="2" t="str">
        <f ca="1">IFERROR(__xludf.DUMMYFUNCTION("""COMPUTED_VALUE"""),"00107")</f>
        <v>00107</v>
      </c>
      <c r="T570" s="2">
        <f ca="1">IFERROR(__xludf.DUMMYFUNCTION("""COMPUTED_VALUE"""),2024)</f>
        <v>2024</v>
      </c>
      <c r="U570" s="2" t="str">
        <f ca="1">IFERROR(__xludf.DUMMYFUNCTION("""COMPUTED_VALUE"""),"0737")</f>
        <v>0737</v>
      </c>
      <c r="V570" s="2" t="str">
        <f ca="1">IFERROR(__xludf.DUMMYFUNCTION("""COMPUTED_VALUE"""),"12.001.0004.0122.0113.2129.33.90.39")</f>
        <v>12.001.0004.0122.0113.2129.33.90.39</v>
      </c>
      <c r="W570" s="2" t="str">
        <f ca="1">IFERROR(__xludf.DUMMYFUNCTION("""COMPUTED_VALUE"""),"0")</f>
        <v>0</v>
      </c>
      <c r="X570" s="2"/>
      <c r="Y570" s="2"/>
      <c r="Z570" s="2"/>
      <c r="AA570" s="2"/>
      <c r="AB570" s="2"/>
      <c r="AC570" s="2"/>
      <c r="AD570" s="2"/>
      <c r="AE570" s="2"/>
      <c r="AF570" s="2"/>
    </row>
    <row r="571" spans="1:32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>
        <f ca="1">IFERROR(__xludf.DUMMYFUNCTION("""COMPUTED_VALUE"""),2023)</f>
        <v>2023</v>
      </c>
      <c r="Q571" s="2" t="str">
        <f ca="1">IFERROR(__xludf.DUMMYFUNCTION("""COMPUTED_VALUE"""),"0633")</f>
        <v>0633</v>
      </c>
      <c r="R571" s="2" t="str">
        <f ca="1">IFERROR(__xludf.DUMMYFUNCTION("""COMPUTED_VALUE"""),"05.001.0012.0361.0074.6018.33.90.40")</f>
        <v>05.001.0012.0361.0074.6018.33.90.40</v>
      </c>
      <c r="S571" s="2" t="str">
        <f ca="1">IFERROR(__xludf.DUMMYFUNCTION("""COMPUTED_VALUE"""),"00104")</f>
        <v>00104</v>
      </c>
      <c r="T571" s="2">
        <f ca="1">IFERROR(__xludf.DUMMYFUNCTION("""COMPUTED_VALUE"""),2024)</f>
        <v>2024</v>
      </c>
      <c r="U571" s="2" t="str">
        <f ca="1">IFERROR(__xludf.DUMMYFUNCTION("""COMPUTED_VALUE"""),"0738")</f>
        <v>0738</v>
      </c>
      <c r="V571" s="2" t="str">
        <f ca="1">IFERROR(__xludf.DUMMYFUNCTION("""COMPUTED_VALUE"""),"12.001.0004.0122.0113.2129.44.90.52")</f>
        <v>12.001.0004.0122.0113.2129.44.90.52</v>
      </c>
      <c r="W571" s="2" t="str">
        <f ca="1">IFERROR(__xludf.DUMMYFUNCTION("""COMPUTED_VALUE"""),"0")</f>
        <v>0</v>
      </c>
      <c r="X571" s="2"/>
      <c r="Y571" s="2"/>
      <c r="Z571" s="2"/>
      <c r="AA571" s="2"/>
      <c r="AB571" s="2"/>
      <c r="AC571" s="2"/>
      <c r="AD571" s="2"/>
      <c r="AE571" s="2"/>
      <c r="AF571" s="2"/>
    </row>
    <row r="572" spans="1:3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>
        <f ca="1">IFERROR(__xludf.DUMMYFUNCTION("""COMPUTED_VALUE"""),2023)</f>
        <v>2023</v>
      </c>
      <c r="Q572" s="2" t="str">
        <f ca="1">IFERROR(__xludf.DUMMYFUNCTION("""COMPUTED_VALUE"""),"0634")</f>
        <v>0634</v>
      </c>
      <c r="R572" s="2" t="str">
        <f ca="1">IFERROR(__xludf.DUMMYFUNCTION("""COMPUTED_VALUE"""),"11.002.0013.0392.0082.2012.33.90.40")</f>
        <v>11.002.0013.0392.0082.2012.33.90.40</v>
      </c>
      <c r="S572" s="2" t="str">
        <f ca="1">IFERROR(__xludf.DUMMYFUNCTION("""COMPUTED_VALUE"""),"0000")</f>
        <v>0000</v>
      </c>
      <c r="T572" s="2">
        <f ca="1">IFERROR(__xludf.DUMMYFUNCTION("""COMPUTED_VALUE"""),2024)</f>
        <v>2024</v>
      </c>
      <c r="U572" s="2" t="str">
        <f ca="1">IFERROR(__xludf.DUMMYFUNCTION("""COMPUTED_VALUE"""),"0740")</f>
        <v>0740</v>
      </c>
      <c r="V572" s="2" t="str">
        <f ca="1">IFERROR(__xludf.DUMMYFUNCTION("""COMPUTED_VALUE"""),"12.002.0012.0366.0113.2121.33.90.32")</f>
        <v>12.002.0012.0366.0113.2121.33.90.32</v>
      </c>
      <c r="W572" s="2" t="str">
        <f ca="1">IFERROR(__xludf.DUMMYFUNCTION("""COMPUTED_VALUE"""),"0")</f>
        <v>0</v>
      </c>
      <c r="X572" s="2"/>
      <c r="Y572" s="2"/>
      <c r="Z572" s="2"/>
      <c r="AA572" s="2"/>
      <c r="AB572" s="2"/>
      <c r="AC572" s="2"/>
      <c r="AD572" s="2"/>
      <c r="AE572" s="2"/>
      <c r="AF572" s="2"/>
    </row>
    <row r="573" spans="1:32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>
        <f ca="1">IFERROR(__xludf.DUMMYFUNCTION("""COMPUTED_VALUE"""),2023)</f>
        <v>2023</v>
      </c>
      <c r="Q573" s="2" t="str">
        <f ca="1">IFERROR(__xludf.DUMMYFUNCTION("""COMPUTED_VALUE"""),"0635")</f>
        <v>0635</v>
      </c>
      <c r="R573" s="2" t="str">
        <f ca="1">IFERROR(__xludf.DUMMYFUNCTION("""COMPUTED_VALUE"""),"06.001.0010.0301.0094.2037.33.90.40")</f>
        <v>06.001.0010.0301.0094.2037.33.90.40</v>
      </c>
      <c r="S573" s="2" t="str">
        <f ca="1">IFERROR(__xludf.DUMMYFUNCTION("""COMPUTED_VALUE"""),"00303")</f>
        <v>00303</v>
      </c>
      <c r="T573" s="2">
        <f ca="1">IFERROR(__xludf.DUMMYFUNCTION("""COMPUTED_VALUE"""),2024)</f>
        <v>2024</v>
      </c>
      <c r="U573" s="2" t="str">
        <f ca="1">IFERROR(__xludf.DUMMYFUNCTION("""COMPUTED_VALUE"""),"0743")</f>
        <v>0743</v>
      </c>
      <c r="V573" s="2" t="str">
        <f ca="1">IFERROR(__xludf.DUMMYFUNCTION("""COMPUTED_VALUE"""),"12.002.0012.0366.0113.2121.33.90.39")</f>
        <v>12.002.0012.0366.0113.2121.33.90.39</v>
      </c>
      <c r="W573" s="2" t="str">
        <f ca="1">IFERROR(__xludf.DUMMYFUNCTION("""COMPUTED_VALUE"""),"0")</f>
        <v>0</v>
      </c>
      <c r="X573" s="2"/>
      <c r="Y573" s="2"/>
      <c r="Z573" s="2"/>
      <c r="AA573" s="2"/>
      <c r="AB573" s="2"/>
      <c r="AC573" s="2"/>
      <c r="AD573" s="2"/>
      <c r="AE573" s="2"/>
      <c r="AF573" s="2"/>
    </row>
    <row r="574" spans="1:32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>
        <f ca="1">IFERROR(__xludf.DUMMYFUNCTION("""COMPUTED_VALUE"""),2023)</f>
        <v>2023</v>
      </c>
      <c r="Q574" s="2" t="str">
        <f ca="1">IFERROR(__xludf.DUMMYFUNCTION("""COMPUTED_VALUE"""),"0637")</f>
        <v>0637</v>
      </c>
      <c r="R574" s="2" t="str">
        <f ca="1">IFERROR(__xludf.DUMMYFUNCTION("""COMPUTED_VALUE"""),"06.001.0010.0301.0094.2039.33.90.40")</f>
        <v>06.001.0010.0301.0094.2039.33.90.40</v>
      </c>
      <c r="S574" s="2" t="str">
        <f ca="1">IFERROR(__xludf.DUMMYFUNCTION("""COMPUTED_VALUE"""),"04942")</f>
        <v>04942</v>
      </c>
      <c r="T574" s="2">
        <f ca="1">IFERROR(__xludf.DUMMYFUNCTION("""COMPUTED_VALUE"""),2024)</f>
        <v>2024</v>
      </c>
      <c r="U574" s="2" t="str">
        <f ca="1">IFERROR(__xludf.DUMMYFUNCTION("""COMPUTED_VALUE"""),"0744")</f>
        <v>0744</v>
      </c>
      <c r="V574" s="2" t="str">
        <f ca="1">IFERROR(__xludf.DUMMYFUNCTION("""COMPUTED_VALUE"""),"12.004.0022.0661.0113.2127.33.90.35")</f>
        <v>12.004.0022.0661.0113.2127.33.90.35</v>
      </c>
      <c r="W574" s="2" t="str">
        <f ca="1">IFERROR(__xludf.DUMMYFUNCTION("""COMPUTED_VALUE"""),"0")</f>
        <v>0</v>
      </c>
      <c r="X574" s="2"/>
      <c r="Y574" s="2"/>
      <c r="Z574" s="2"/>
      <c r="AA574" s="2"/>
      <c r="AB574" s="2"/>
      <c r="AC574" s="2"/>
      <c r="AD574" s="2"/>
      <c r="AE574" s="2"/>
      <c r="AF574" s="2"/>
    </row>
    <row r="575" spans="1:32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>
        <f ca="1">IFERROR(__xludf.DUMMYFUNCTION("""COMPUTED_VALUE"""),2023)</f>
        <v>2023</v>
      </c>
      <c r="Q575" s="2" t="str">
        <f ca="1">IFERROR(__xludf.DUMMYFUNCTION("""COMPUTED_VALUE"""),"0638")</f>
        <v>0638</v>
      </c>
      <c r="R575" s="2" t="str">
        <f ca="1">IFERROR(__xludf.DUMMYFUNCTION("""COMPUTED_VALUE"""),"06.001.0010.0305.0094.2040.33.90.40")</f>
        <v>06.001.0010.0305.0094.2040.33.90.40</v>
      </c>
      <c r="S575" s="2" t="str">
        <f ca="1">IFERROR(__xludf.DUMMYFUNCTION("""COMPUTED_VALUE"""),"04942")</f>
        <v>04942</v>
      </c>
      <c r="T575" s="2">
        <f ca="1">IFERROR(__xludf.DUMMYFUNCTION("""COMPUTED_VALUE"""),2024)</f>
        <v>2024</v>
      </c>
      <c r="U575" s="2" t="str">
        <f ca="1">IFERROR(__xludf.DUMMYFUNCTION("""COMPUTED_VALUE"""),"0751")</f>
        <v>0751</v>
      </c>
      <c r="V575" s="2" t="str">
        <f ca="1">IFERROR(__xludf.DUMMYFUNCTION("""COMPUTED_VALUE"""),"12.004.0022.0661.0113.2127.33.90.39")</f>
        <v>12.004.0022.0661.0113.2127.33.90.39</v>
      </c>
      <c r="W575" s="2" t="str">
        <f ca="1">IFERROR(__xludf.DUMMYFUNCTION("""COMPUTED_VALUE"""),"0")</f>
        <v>0</v>
      </c>
      <c r="X575" s="2"/>
      <c r="Y575" s="2"/>
      <c r="Z575" s="2"/>
      <c r="AA575" s="2"/>
      <c r="AB575" s="2"/>
      <c r="AC575" s="2"/>
      <c r="AD575" s="2"/>
      <c r="AE575" s="2"/>
      <c r="AF575" s="2"/>
    </row>
    <row r="576" spans="1:32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>
        <f ca="1">IFERROR(__xludf.DUMMYFUNCTION("""COMPUTED_VALUE"""),2023)</f>
        <v>2023</v>
      </c>
      <c r="Q576" s="2" t="str">
        <f ca="1">IFERROR(__xludf.DUMMYFUNCTION("""COMPUTED_VALUE"""),"0639")</f>
        <v>0639</v>
      </c>
      <c r="R576" s="2" t="str">
        <f ca="1">IFERROR(__xludf.DUMMYFUNCTION("""COMPUTED_VALUE"""),"06.001.0010.0302.0094.2041.33.90.40")</f>
        <v>06.001.0010.0302.0094.2041.33.90.40</v>
      </c>
      <c r="S576" s="2" t="str">
        <f ca="1">IFERROR(__xludf.DUMMYFUNCTION("""COMPUTED_VALUE"""),"00303")</f>
        <v>00303</v>
      </c>
      <c r="T576" s="2">
        <f ca="1">IFERROR(__xludf.DUMMYFUNCTION("""COMPUTED_VALUE"""),2024)</f>
        <v>2024</v>
      </c>
      <c r="U576" s="2" t="str">
        <f ca="1">IFERROR(__xludf.DUMMYFUNCTION("""COMPUTED_VALUE"""),"0752")</f>
        <v>0752</v>
      </c>
      <c r="V576" s="2" t="str">
        <f ca="1">IFERROR(__xludf.DUMMYFUNCTION("""COMPUTED_VALUE"""),"12.004.0023.0695.0113.2152.33.90.39")</f>
        <v>12.004.0023.0695.0113.2152.33.90.39</v>
      </c>
      <c r="W576" s="2" t="str">
        <f ca="1">IFERROR(__xludf.DUMMYFUNCTION("""COMPUTED_VALUE"""),"0")</f>
        <v>0</v>
      </c>
      <c r="X576" s="2"/>
      <c r="Y576" s="2"/>
      <c r="Z576" s="2"/>
      <c r="AA576" s="2"/>
      <c r="AB576" s="2"/>
      <c r="AC576" s="2"/>
      <c r="AD576" s="2"/>
      <c r="AE576" s="2"/>
      <c r="AF576" s="2"/>
    </row>
    <row r="577" spans="1:32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>
        <f ca="1">IFERROR(__xludf.DUMMYFUNCTION("""COMPUTED_VALUE"""),2023)</f>
        <v>2023</v>
      </c>
      <c r="Q577" s="2" t="str">
        <f ca="1">IFERROR(__xludf.DUMMYFUNCTION("""COMPUTED_VALUE"""),"0640")</f>
        <v>0640</v>
      </c>
      <c r="R577" s="2" t="str">
        <f ca="1">IFERROR(__xludf.DUMMYFUNCTION("""COMPUTED_VALUE"""),"06.001.0010.0302.0094.2043.33.90.40")</f>
        <v>06.001.0010.0302.0094.2043.33.90.40</v>
      </c>
      <c r="S577" s="2" t="str">
        <f ca="1">IFERROR(__xludf.DUMMYFUNCTION("""COMPUTED_VALUE"""),"04942")</f>
        <v>04942</v>
      </c>
      <c r="T577" s="2">
        <f ca="1">IFERROR(__xludf.DUMMYFUNCTION("""COMPUTED_VALUE"""),2024)</f>
        <v>2024</v>
      </c>
      <c r="U577" s="2" t="str">
        <f ca="1">IFERROR(__xludf.DUMMYFUNCTION("""COMPUTED_VALUE"""),"0763")</f>
        <v>0763</v>
      </c>
      <c r="V577" s="2" t="str">
        <f ca="1">IFERROR(__xludf.DUMMYFUNCTION("""COMPUTED_VALUE"""),"12.005.0020.0605.0113.2122.33.90.32")</f>
        <v>12.005.0020.0605.0113.2122.33.90.32</v>
      </c>
      <c r="W577" s="2" t="str">
        <f ca="1">IFERROR(__xludf.DUMMYFUNCTION("""COMPUTED_VALUE"""),"0")</f>
        <v>0</v>
      </c>
      <c r="X577" s="2"/>
      <c r="Y577" s="2"/>
      <c r="Z577" s="2"/>
      <c r="AA577" s="2"/>
      <c r="AB577" s="2"/>
      <c r="AC577" s="2"/>
      <c r="AD577" s="2"/>
      <c r="AE577" s="2"/>
      <c r="AF577" s="2"/>
    </row>
    <row r="578" spans="1:32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>
        <f ca="1">IFERROR(__xludf.DUMMYFUNCTION("""COMPUTED_VALUE"""),2023)</f>
        <v>2023</v>
      </c>
      <c r="Q578" s="2" t="str">
        <f ca="1">IFERROR(__xludf.DUMMYFUNCTION("""COMPUTED_VALUE"""),"0641")</f>
        <v>0641</v>
      </c>
      <c r="R578" s="2" t="str">
        <f ca="1">IFERROR(__xludf.DUMMYFUNCTION("""COMPUTED_VALUE"""),"06.001.0010.0302.0094.2044.33.90.40")</f>
        <v>06.001.0010.0302.0094.2044.33.90.40</v>
      </c>
      <c r="S578" s="2" t="str">
        <f ca="1">IFERROR(__xludf.DUMMYFUNCTION("""COMPUTED_VALUE"""),"00303")</f>
        <v>00303</v>
      </c>
      <c r="T578" s="2">
        <f ca="1">IFERROR(__xludf.DUMMYFUNCTION("""COMPUTED_VALUE"""),2024)</f>
        <v>2024</v>
      </c>
      <c r="U578" s="2" t="str">
        <f ca="1">IFERROR(__xludf.DUMMYFUNCTION("""COMPUTED_VALUE"""),"1176")</f>
        <v>1176</v>
      </c>
      <c r="V578" s="2" t="str">
        <f ca="1">IFERROR(__xludf.DUMMYFUNCTION("""COMPUTED_VALUE"""),"12.005.0020.0605.0113.2122.33.90.37")</f>
        <v>12.005.0020.0605.0113.2122.33.90.37</v>
      </c>
      <c r="W578" s="2" t="str">
        <f ca="1">IFERROR(__xludf.DUMMYFUNCTION("""COMPUTED_VALUE"""),"0")</f>
        <v>0</v>
      </c>
      <c r="X578" s="2"/>
      <c r="Y578" s="2"/>
      <c r="Z578" s="2"/>
      <c r="AA578" s="2"/>
      <c r="AB578" s="2"/>
      <c r="AC578" s="2"/>
      <c r="AD578" s="2"/>
      <c r="AE578" s="2"/>
      <c r="AF578" s="2"/>
    </row>
    <row r="579" spans="1:32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>
        <f ca="1">IFERROR(__xludf.DUMMYFUNCTION("""COMPUTED_VALUE"""),2023)</f>
        <v>2023</v>
      </c>
      <c r="Q579" s="2" t="str">
        <f ca="1">IFERROR(__xludf.DUMMYFUNCTION("""COMPUTED_VALUE"""),"0642")</f>
        <v>0642</v>
      </c>
      <c r="R579" s="2" t="str">
        <f ca="1">IFERROR(__xludf.DUMMYFUNCTION("""COMPUTED_VALUE"""),"06.001.0010.0304.0094.2046.33.90.40")</f>
        <v>06.001.0010.0304.0094.2046.33.90.40</v>
      </c>
      <c r="S579" s="2" t="str">
        <f ca="1">IFERROR(__xludf.DUMMYFUNCTION("""COMPUTED_VALUE"""),"04942")</f>
        <v>04942</v>
      </c>
      <c r="T579" s="2">
        <f ca="1">IFERROR(__xludf.DUMMYFUNCTION("""COMPUTED_VALUE"""),2024)</f>
        <v>2024</v>
      </c>
      <c r="U579" s="2" t="str">
        <f ca="1">IFERROR(__xludf.DUMMYFUNCTION("""COMPUTED_VALUE"""),"1177")</f>
        <v>1177</v>
      </c>
      <c r="V579" s="2" t="str">
        <f ca="1">IFERROR(__xludf.DUMMYFUNCTION("""COMPUTED_VALUE"""),"12.005.0020.0605.0113.2122.33.90.39")</f>
        <v>12.005.0020.0605.0113.2122.33.90.39</v>
      </c>
      <c r="W579" s="2" t="str">
        <f ca="1">IFERROR(__xludf.DUMMYFUNCTION("""COMPUTED_VALUE"""),"0")</f>
        <v>0</v>
      </c>
      <c r="X579" s="2"/>
      <c r="Y579" s="2"/>
      <c r="Z579" s="2"/>
      <c r="AA579" s="2"/>
      <c r="AB579" s="2"/>
      <c r="AC579" s="2"/>
      <c r="AD579" s="2"/>
      <c r="AE579" s="2"/>
      <c r="AF579" s="2"/>
    </row>
    <row r="580" spans="1:32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>
        <f ca="1">IFERROR(__xludf.DUMMYFUNCTION("""COMPUTED_VALUE"""),2023)</f>
        <v>2023</v>
      </c>
      <c r="Q580" s="2" t="str">
        <f ca="1">IFERROR(__xludf.DUMMYFUNCTION("""COMPUTED_VALUE"""),"0643")</f>
        <v>0643</v>
      </c>
      <c r="R580" s="2" t="str">
        <f ca="1">IFERROR(__xludf.DUMMYFUNCTION("""COMPUTED_VALUE"""),"07.005.0015.0452.0104.2132.33.90.40")</f>
        <v>07.005.0015.0452.0104.2132.33.90.40</v>
      </c>
      <c r="S580" s="2" t="str">
        <f ca="1">IFERROR(__xludf.DUMMYFUNCTION("""COMPUTED_VALUE"""),"0000")</f>
        <v>0000</v>
      </c>
      <c r="T580" s="2">
        <f ca="1">IFERROR(__xludf.DUMMYFUNCTION("""COMPUTED_VALUE"""),2024)</f>
        <v>2024</v>
      </c>
      <c r="U580" s="2" t="str">
        <f ca="1">IFERROR(__xludf.DUMMYFUNCTION("""COMPUTED_VALUE"""),"0766")</f>
        <v>0766</v>
      </c>
      <c r="V580" s="2" t="str">
        <f ca="1">IFERROR(__xludf.DUMMYFUNCTION("""COMPUTED_VALUE"""),"12.005.0020.0605.0113.2122.33.90.40")</f>
        <v>12.005.0020.0605.0113.2122.33.90.40</v>
      </c>
      <c r="W580" s="2" t="str">
        <f ca="1">IFERROR(__xludf.DUMMYFUNCTION("""COMPUTED_VALUE"""),"0")</f>
        <v>0</v>
      </c>
      <c r="X580" s="2"/>
      <c r="Y580" s="2"/>
      <c r="Z580" s="2"/>
      <c r="AA580" s="2"/>
      <c r="AB580" s="2"/>
      <c r="AC580" s="2"/>
      <c r="AD580" s="2"/>
      <c r="AE580" s="2"/>
      <c r="AF580" s="2"/>
    </row>
    <row r="581" spans="1:32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>
        <f ca="1">IFERROR(__xludf.DUMMYFUNCTION("""COMPUTED_VALUE"""),2023)</f>
        <v>2023</v>
      </c>
      <c r="Q581" s="2" t="str">
        <f ca="1">IFERROR(__xludf.DUMMYFUNCTION("""COMPUTED_VALUE"""),"0644")</f>
        <v>0644</v>
      </c>
      <c r="R581" s="2" t="str">
        <f ca="1">IFERROR(__xludf.DUMMYFUNCTION("""COMPUTED_VALUE"""),"07.006.0015.0452.0104.2136.33.90.40")</f>
        <v>07.006.0015.0452.0104.2136.33.90.40</v>
      </c>
      <c r="S581" s="2" t="str">
        <f ca="1">IFERROR(__xludf.DUMMYFUNCTION("""COMPUTED_VALUE"""),"0000")</f>
        <v>0000</v>
      </c>
      <c r="T581" s="2">
        <f ca="1">IFERROR(__xludf.DUMMYFUNCTION("""COMPUTED_VALUE"""),2024)</f>
        <v>2024</v>
      </c>
      <c r="U581" s="2" t="str">
        <f ca="1">IFERROR(__xludf.DUMMYFUNCTION("""COMPUTED_VALUE"""),"1178")</f>
        <v>1178</v>
      </c>
      <c r="V581" s="2" t="str">
        <f ca="1">IFERROR(__xludf.DUMMYFUNCTION("""COMPUTED_VALUE"""),"12.005.0020.0605.0113.2122.33.90.93")</f>
        <v>12.005.0020.0605.0113.2122.33.90.93</v>
      </c>
      <c r="W581" s="2" t="str">
        <f ca="1">IFERROR(__xludf.DUMMYFUNCTION("""COMPUTED_VALUE"""),"0")</f>
        <v>0</v>
      </c>
      <c r="X581" s="2"/>
      <c r="Y581" s="2"/>
      <c r="Z581" s="2"/>
      <c r="AA581" s="2"/>
      <c r="AB581" s="2"/>
      <c r="AC581" s="2"/>
      <c r="AD581" s="2"/>
      <c r="AE581" s="2"/>
      <c r="AF581" s="2"/>
    </row>
    <row r="582" spans="1:3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>
        <f ca="1">IFERROR(__xludf.DUMMYFUNCTION("""COMPUTED_VALUE"""),2023)</f>
        <v>2023</v>
      </c>
      <c r="Q582" s="2" t="str">
        <f ca="1">IFERROR(__xludf.DUMMYFUNCTION("""COMPUTED_VALUE"""),"0645")</f>
        <v>0645</v>
      </c>
      <c r="R582" s="2" t="str">
        <f ca="1">IFERROR(__xludf.DUMMYFUNCTION("""COMPUTED_VALUE"""),"12.005.0020.0605.0113.2124.33.90.40")</f>
        <v>12.005.0020.0605.0113.2124.33.90.40</v>
      </c>
      <c r="S582" s="2" t="str">
        <f ca="1">IFERROR(__xludf.DUMMYFUNCTION("""COMPUTED_VALUE"""),"0000")</f>
        <v>0000</v>
      </c>
      <c r="T582" s="2">
        <f ca="1">IFERROR(__xludf.DUMMYFUNCTION("""COMPUTED_VALUE"""),2024)</f>
        <v>2024</v>
      </c>
      <c r="U582" s="2" t="str">
        <f ca="1">IFERROR(__xludf.DUMMYFUNCTION("""COMPUTED_VALUE"""),"1179")</f>
        <v>1179</v>
      </c>
      <c r="V582" s="2" t="str">
        <f ca="1">IFERROR(__xludf.DUMMYFUNCTION("""COMPUTED_VALUE"""),"12.005.0020.0605.0113.2130.33.90.30")</f>
        <v>12.005.0020.0605.0113.2130.33.90.30</v>
      </c>
      <c r="W582" s="2" t="str">
        <f ca="1">IFERROR(__xludf.DUMMYFUNCTION("""COMPUTED_VALUE"""),"0")</f>
        <v>0</v>
      </c>
      <c r="X582" s="2"/>
      <c r="Y582" s="2"/>
      <c r="Z582" s="2"/>
      <c r="AA582" s="2"/>
      <c r="AB582" s="2"/>
      <c r="AC582" s="2"/>
      <c r="AD582" s="2"/>
      <c r="AE582" s="2"/>
      <c r="AF582" s="2"/>
    </row>
    <row r="583" spans="1:32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>
        <f ca="1">IFERROR(__xludf.DUMMYFUNCTION("""COMPUTED_VALUE"""),2023)</f>
        <v>2023</v>
      </c>
      <c r="Q583" s="2" t="str">
        <f ca="1">IFERROR(__xludf.DUMMYFUNCTION("""COMPUTED_VALUE"""),"0646")</f>
        <v>0646</v>
      </c>
      <c r="R583" s="2" t="str">
        <f ca="1">IFERROR(__xludf.DUMMYFUNCTION("""COMPUTED_VALUE"""),"12.001.0004.0122.0113.2129.33.90.40")</f>
        <v>12.001.0004.0122.0113.2129.33.90.40</v>
      </c>
      <c r="S583" s="2" t="str">
        <f ca="1">IFERROR(__xludf.DUMMYFUNCTION("""COMPUTED_VALUE"""),"0000")</f>
        <v>0000</v>
      </c>
      <c r="T583" s="2">
        <f ca="1">IFERROR(__xludf.DUMMYFUNCTION("""COMPUTED_VALUE"""),2024)</f>
        <v>2024</v>
      </c>
      <c r="U583" s="2" t="str">
        <f ca="1">IFERROR(__xludf.DUMMYFUNCTION("""COMPUTED_VALUE"""),"0773")</f>
        <v>0773</v>
      </c>
      <c r="V583" s="2" t="str">
        <f ca="1">IFERROR(__xludf.DUMMYFUNCTION("""COMPUTED_VALUE"""),"12.005.0020.0605.0113.2130.33.90.39")</f>
        <v>12.005.0020.0605.0113.2130.33.90.39</v>
      </c>
      <c r="W583" s="2" t="str">
        <f ca="1">IFERROR(__xludf.DUMMYFUNCTION("""COMPUTED_VALUE"""),"5107")</f>
        <v>5107</v>
      </c>
      <c r="X583" s="2"/>
      <c r="Y583" s="2"/>
      <c r="Z583" s="2"/>
      <c r="AA583" s="2"/>
      <c r="AB583" s="2"/>
      <c r="AC583" s="2"/>
      <c r="AD583" s="2"/>
      <c r="AE583" s="2"/>
      <c r="AF583" s="2"/>
    </row>
    <row r="584" spans="1:32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>
        <f ca="1">IFERROR(__xludf.DUMMYFUNCTION("""COMPUTED_VALUE"""),2023)</f>
        <v>2023</v>
      </c>
      <c r="Q584" s="2" t="str">
        <f ca="1">IFERROR(__xludf.DUMMYFUNCTION("""COMPUTED_VALUE"""),"0647")</f>
        <v>0647</v>
      </c>
      <c r="R584" s="2" t="str">
        <f ca="1">IFERROR(__xludf.DUMMYFUNCTION("""COMPUTED_VALUE"""),"08.001.0008.0244.0118.2029.33.90.40")</f>
        <v>08.001.0008.0244.0118.2029.33.90.40</v>
      </c>
      <c r="S584" s="2" t="str">
        <f ca="1">IFERROR(__xludf.DUMMYFUNCTION("""COMPUTED_VALUE"""),"0000")</f>
        <v>0000</v>
      </c>
      <c r="T584" s="2">
        <f ca="1">IFERROR(__xludf.DUMMYFUNCTION("""COMPUTED_VALUE"""),2024)</f>
        <v>2024</v>
      </c>
      <c r="U584" s="2" t="str">
        <f ca="1">IFERROR(__xludf.DUMMYFUNCTION("""COMPUTED_VALUE"""),"0774")</f>
        <v>0774</v>
      </c>
      <c r="V584" s="2" t="str">
        <f ca="1">IFERROR(__xludf.DUMMYFUNCTION("""COMPUTED_VALUE"""),"12.008.0023.0695.0113.2125.33.90.30")</f>
        <v>12.008.0023.0695.0113.2125.33.90.30</v>
      </c>
      <c r="W584" s="2" t="str">
        <f ca="1">IFERROR(__xludf.DUMMYFUNCTION("""COMPUTED_VALUE"""),"5107")</f>
        <v>5107</v>
      </c>
      <c r="X584" s="2"/>
      <c r="Y584" s="2"/>
      <c r="Z584" s="2"/>
      <c r="AA584" s="2"/>
      <c r="AB584" s="2"/>
      <c r="AC584" s="2"/>
      <c r="AD584" s="2"/>
      <c r="AE584" s="2"/>
      <c r="AF584" s="2"/>
    </row>
    <row r="585" spans="1:32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>
        <f ca="1">IFERROR(__xludf.DUMMYFUNCTION("""COMPUTED_VALUE"""),2023)</f>
        <v>2023</v>
      </c>
      <c r="Q585" s="2" t="str">
        <f ca="1">IFERROR(__xludf.DUMMYFUNCTION("""COMPUTED_VALUE"""),"0648")</f>
        <v>0648</v>
      </c>
      <c r="R585" s="2" t="str">
        <f ca="1">IFERROR(__xludf.DUMMYFUNCTION("""COMPUTED_VALUE"""),"08.003.0008.0244.0118.2030.33.90.40")</f>
        <v>08.003.0008.0244.0118.2030.33.90.40</v>
      </c>
      <c r="S585" s="2" t="str">
        <f ca="1">IFERROR(__xludf.DUMMYFUNCTION("""COMPUTED_VALUE"""),"0000")</f>
        <v>0000</v>
      </c>
      <c r="T585" s="2">
        <f ca="1">IFERROR(__xludf.DUMMYFUNCTION("""COMPUTED_VALUE"""),2024)</f>
        <v>2024</v>
      </c>
      <c r="U585" s="2" t="str">
        <f ca="1">IFERROR(__xludf.DUMMYFUNCTION("""COMPUTED_VALUE"""),"0775")</f>
        <v>0775</v>
      </c>
      <c r="V585" s="2" t="str">
        <f ca="1">IFERROR(__xludf.DUMMYFUNCTION("""COMPUTED_VALUE"""),"12.008.0023.0695.0113.2125.33.90.39")</f>
        <v>12.008.0023.0695.0113.2125.33.90.39</v>
      </c>
      <c r="W585" s="2" t="str">
        <f ca="1">IFERROR(__xludf.DUMMYFUNCTION("""COMPUTED_VALUE"""),"36")</f>
        <v>36</v>
      </c>
      <c r="X585" s="2"/>
      <c r="Y585" s="2"/>
      <c r="Z585" s="2"/>
      <c r="AA585" s="2"/>
      <c r="AB585" s="2"/>
      <c r="AC585" s="2"/>
      <c r="AD585" s="2"/>
      <c r="AE585" s="2"/>
      <c r="AF585" s="2"/>
    </row>
    <row r="586" spans="1:32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>
        <f ca="1">IFERROR(__xludf.DUMMYFUNCTION("""COMPUTED_VALUE"""),2023)</f>
        <v>2023</v>
      </c>
      <c r="Q586" s="2" t="str">
        <f ca="1">IFERROR(__xludf.DUMMYFUNCTION("""COMPUTED_VALUE"""),"0649")</f>
        <v>0649</v>
      </c>
      <c r="R586" s="2" t="str">
        <f ca="1">IFERROR(__xludf.DUMMYFUNCTION("""COMPUTED_VALUE"""),"08.003.0008.0244.0118.2030.33.90.40")</f>
        <v>08.003.0008.0244.0118.2030.33.90.40</v>
      </c>
      <c r="S586" s="2" t="str">
        <f ca="1">IFERROR(__xludf.DUMMYFUNCTION("""COMPUTED_VALUE"""),"00934")</f>
        <v>00934</v>
      </c>
      <c r="T586" s="2">
        <f ca="1">IFERROR(__xludf.DUMMYFUNCTION("""COMPUTED_VALUE"""),2024)</f>
        <v>2024</v>
      </c>
      <c r="U586" s="2" t="str">
        <f ca="1">IFERROR(__xludf.DUMMYFUNCTION("""COMPUTED_VALUE"""),"0776")</f>
        <v>0776</v>
      </c>
      <c r="V586" s="2" t="str">
        <f ca="1">IFERROR(__xludf.DUMMYFUNCTION("""COMPUTED_VALUE"""),"13.001.0004.0124.0051.1027.44.90.52")</f>
        <v>13.001.0004.0124.0051.1027.44.90.52</v>
      </c>
      <c r="W586" s="2" t="str">
        <f ca="1">IFERROR(__xludf.DUMMYFUNCTION("""COMPUTED_VALUE"""),"36")</f>
        <v>36</v>
      </c>
      <c r="X586" s="2"/>
      <c r="Y586" s="2"/>
      <c r="Z586" s="2"/>
      <c r="AA586" s="2"/>
      <c r="AB586" s="2"/>
      <c r="AC586" s="2"/>
      <c r="AD586" s="2"/>
      <c r="AE586" s="2"/>
      <c r="AF586" s="2"/>
    </row>
    <row r="587" spans="1:32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>
        <f ca="1">IFERROR(__xludf.DUMMYFUNCTION("""COMPUTED_VALUE"""),2023)</f>
        <v>2023</v>
      </c>
      <c r="Q587" s="2" t="str">
        <f ca="1">IFERROR(__xludf.DUMMYFUNCTION("""COMPUTED_VALUE"""),"0651")</f>
        <v>0651</v>
      </c>
      <c r="R587" s="2" t="str">
        <f ca="1">IFERROR(__xludf.DUMMYFUNCTION("""COMPUTED_VALUE"""),"08.003.0008.0244.0118.2030.33.90.40")</f>
        <v>08.003.0008.0244.0118.2030.33.90.40</v>
      </c>
      <c r="S587" s="2" t="str">
        <f ca="1">IFERROR(__xludf.DUMMYFUNCTION("""COMPUTED_VALUE"""),"00940")</f>
        <v>00940</v>
      </c>
      <c r="T587" s="2">
        <f ca="1">IFERROR(__xludf.DUMMYFUNCTION("""COMPUTED_VALUE"""),2024)</f>
        <v>2024</v>
      </c>
      <c r="U587" s="2" t="str">
        <f ca="1">IFERROR(__xludf.DUMMYFUNCTION("""COMPUTED_VALUE"""),"0779")</f>
        <v>0779</v>
      </c>
      <c r="V587" s="2" t="str">
        <f ca="1">IFERROR(__xludf.DUMMYFUNCTION("""COMPUTED_VALUE"""),"13.001.0004.0124.0051.2048.33.90.30")</f>
        <v>13.001.0004.0124.0051.2048.33.90.30</v>
      </c>
      <c r="W587" s="2" t="str">
        <f ca="1">IFERROR(__xludf.DUMMYFUNCTION("""COMPUTED_VALUE"""),"0")</f>
        <v>0</v>
      </c>
      <c r="X587" s="2"/>
      <c r="Y587" s="2"/>
      <c r="Z587" s="2"/>
      <c r="AA587" s="2"/>
      <c r="AB587" s="2"/>
      <c r="AC587" s="2"/>
      <c r="AD587" s="2"/>
      <c r="AE587" s="2"/>
      <c r="AF587" s="2"/>
    </row>
    <row r="588" spans="1:32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>
        <f ca="1">IFERROR(__xludf.DUMMYFUNCTION("""COMPUTED_VALUE"""),2023)</f>
        <v>2023</v>
      </c>
      <c r="Q588" s="2" t="str">
        <f ca="1">IFERROR(__xludf.DUMMYFUNCTION("""COMPUTED_VALUE"""),"0652")</f>
        <v>0652</v>
      </c>
      <c r="R588" s="2" t="str">
        <f ca="1">IFERROR(__xludf.DUMMYFUNCTION("""COMPUTED_VALUE"""),"08.007.0008.0241.0118.2031.33.90.40")</f>
        <v>08.007.0008.0241.0118.2031.33.90.40</v>
      </c>
      <c r="S588" s="2" t="str">
        <f ca="1">IFERROR(__xludf.DUMMYFUNCTION("""COMPUTED_VALUE"""),"0000")</f>
        <v>0000</v>
      </c>
      <c r="T588" s="2">
        <f ca="1">IFERROR(__xludf.DUMMYFUNCTION("""COMPUTED_VALUE"""),2024)</f>
        <v>2024</v>
      </c>
      <c r="U588" s="2" t="str">
        <f ca="1">IFERROR(__xludf.DUMMYFUNCTION("""COMPUTED_VALUE"""),"0780")</f>
        <v>0780</v>
      </c>
      <c r="V588" s="2" t="str">
        <f ca="1">IFERROR(__xludf.DUMMYFUNCTION("""COMPUTED_VALUE"""),"13.001.0004.0124.0051.2048.33.90.39")</f>
        <v>13.001.0004.0124.0051.2048.33.90.39</v>
      </c>
      <c r="W588" s="2" t="str">
        <f ca="1">IFERROR(__xludf.DUMMYFUNCTION("""COMPUTED_VALUE"""),"0")</f>
        <v>0</v>
      </c>
      <c r="X588" s="2"/>
      <c r="Y588" s="2"/>
      <c r="Z588" s="2"/>
      <c r="AA588" s="2"/>
      <c r="AB588" s="2"/>
      <c r="AC588" s="2"/>
      <c r="AD588" s="2"/>
      <c r="AE588" s="2"/>
      <c r="AF588" s="2"/>
    </row>
    <row r="589" spans="1:32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>
        <f ca="1">IFERROR(__xludf.DUMMYFUNCTION("""COMPUTED_VALUE"""),2023)</f>
        <v>2023</v>
      </c>
      <c r="Q589" s="2" t="str">
        <f ca="1">IFERROR(__xludf.DUMMYFUNCTION("""COMPUTED_VALUE"""),"0653")</f>
        <v>0653</v>
      </c>
      <c r="R589" s="2" t="str">
        <f ca="1">IFERROR(__xludf.DUMMYFUNCTION("""COMPUTED_VALUE"""),"08.005.0008.0243.0118.6001.33.90.40")</f>
        <v>08.005.0008.0243.0118.6001.33.90.40</v>
      </c>
      <c r="S589" s="2" t="str">
        <f ca="1">IFERROR(__xludf.DUMMYFUNCTION("""COMPUTED_VALUE"""),"0000")</f>
        <v>0000</v>
      </c>
      <c r="T589" s="2">
        <f ca="1">IFERROR(__xludf.DUMMYFUNCTION("""COMPUTED_VALUE"""),2024)</f>
        <v>2024</v>
      </c>
      <c r="U589" s="2" t="str">
        <f ca="1">IFERROR(__xludf.DUMMYFUNCTION("""COMPUTED_VALUE"""),"0781")</f>
        <v>0781</v>
      </c>
      <c r="V589" s="2" t="str">
        <f ca="1">IFERROR(__xludf.DUMMYFUNCTION("""COMPUTED_VALUE"""),"13.001.0004.0124.0051.2048.33.90.40")</f>
        <v>13.001.0004.0124.0051.2048.33.90.40</v>
      </c>
      <c r="W589" s="2" t="str">
        <f ca="1">IFERROR(__xludf.DUMMYFUNCTION("""COMPUTED_VALUE"""),"0")</f>
        <v>0</v>
      </c>
      <c r="X589" s="2"/>
      <c r="Y589" s="2"/>
      <c r="Z589" s="2"/>
      <c r="AA589" s="2"/>
      <c r="AB589" s="2"/>
      <c r="AC589" s="2"/>
      <c r="AD589" s="2"/>
      <c r="AE589" s="2"/>
      <c r="AF589" s="2"/>
    </row>
    <row r="590" spans="1:32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>
        <f ca="1">IFERROR(__xludf.DUMMYFUNCTION("""COMPUTED_VALUE"""),2023)</f>
        <v>2023</v>
      </c>
      <c r="Q590" s="2" t="str">
        <f ca="1">IFERROR(__xludf.DUMMYFUNCTION("""COMPUTED_VALUE"""),"0654")</f>
        <v>0654</v>
      </c>
      <c r="R590" s="2" t="str">
        <f ca="1">IFERROR(__xludf.DUMMYFUNCTION("""COMPUTED_VALUE"""),"16.003.0015.0451.0122.2084.33.90.40")</f>
        <v>16.003.0015.0451.0122.2084.33.90.40</v>
      </c>
      <c r="S590" s="2" t="str">
        <f ca="1">IFERROR(__xludf.DUMMYFUNCTION("""COMPUTED_VALUE"""),"0000")</f>
        <v>0000</v>
      </c>
      <c r="T590" s="2">
        <f ca="1">IFERROR(__xludf.DUMMYFUNCTION("""COMPUTED_VALUE"""),2024)</f>
        <v>2024</v>
      </c>
      <c r="U590" s="2" t="str">
        <f ca="1">IFERROR(__xludf.DUMMYFUNCTION("""COMPUTED_VALUE"""),"0782")</f>
        <v>0782</v>
      </c>
      <c r="V590" s="2" t="str">
        <f ca="1">IFERROR(__xludf.DUMMYFUNCTION("""COMPUTED_VALUE"""),"13.001.0004.0124.0051.2049.33.90.14")</f>
        <v>13.001.0004.0124.0051.2049.33.90.14</v>
      </c>
      <c r="W590" s="2" t="str">
        <f ca="1">IFERROR(__xludf.DUMMYFUNCTION("""COMPUTED_VALUE"""),"0")</f>
        <v>0</v>
      </c>
      <c r="X590" s="2"/>
      <c r="Y590" s="2"/>
      <c r="Z590" s="2"/>
      <c r="AA590" s="2"/>
      <c r="AB590" s="2"/>
      <c r="AC590" s="2"/>
      <c r="AD590" s="2"/>
      <c r="AE590" s="2"/>
      <c r="AF590" s="2"/>
    </row>
    <row r="591" spans="1:32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>
        <f ca="1">IFERROR(__xludf.DUMMYFUNCTION("""COMPUTED_VALUE"""),2023)</f>
        <v>2023</v>
      </c>
      <c r="Q591" s="2" t="str">
        <f ca="1">IFERROR(__xludf.DUMMYFUNCTION("""COMPUTED_VALUE"""),"0655")</f>
        <v>0655</v>
      </c>
      <c r="R591" s="2" t="str">
        <f ca="1">IFERROR(__xludf.DUMMYFUNCTION("""COMPUTED_VALUE"""),"16.003.0015.0451.0122.2084.33.90.40")</f>
        <v>16.003.0015.0451.0122.2084.33.90.40</v>
      </c>
      <c r="S591" s="2" t="str">
        <f ca="1">IFERROR(__xludf.DUMMYFUNCTION("""COMPUTED_VALUE"""),"05104")</f>
        <v>05104</v>
      </c>
      <c r="T591" s="2">
        <f ca="1">IFERROR(__xludf.DUMMYFUNCTION("""COMPUTED_VALUE"""),2024)</f>
        <v>2024</v>
      </c>
      <c r="U591" s="2" t="str">
        <f ca="1">IFERROR(__xludf.DUMMYFUNCTION("""COMPUTED_VALUE"""),"0783")</f>
        <v>0783</v>
      </c>
      <c r="V591" s="2" t="str">
        <f ca="1">IFERROR(__xludf.DUMMYFUNCTION("""COMPUTED_VALUE"""),"13.001.0004.0124.0051.2049.33.90.33")</f>
        <v>13.001.0004.0124.0051.2049.33.90.33</v>
      </c>
      <c r="W591" s="2" t="str">
        <f ca="1">IFERROR(__xludf.DUMMYFUNCTION("""COMPUTED_VALUE"""),"0")</f>
        <v>0</v>
      </c>
      <c r="X591" s="2"/>
      <c r="Y591" s="2"/>
      <c r="Z591" s="2"/>
      <c r="AA591" s="2"/>
      <c r="AB591" s="2"/>
      <c r="AC591" s="2"/>
      <c r="AD591" s="2"/>
      <c r="AE591" s="2"/>
      <c r="AF591" s="2"/>
    </row>
    <row r="592" spans="1:3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>
        <f ca="1">IFERROR(__xludf.DUMMYFUNCTION("""COMPUTED_VALUE"""),2023)</f>
        <v>2023</v>
      </c>
      <c r="Q592" s="2" t="str">
        <f ca="1">IFERROR(__xludf.DUMMYFUNCTION("""COMPUTED_VALUE"""),"0656")</f>
        <v>0656</v>
      </c>
      <c r="R592" s="2" t="str">
        <f ca="1">IFERROR(__xludf.DUMMYFUNCTION("""COMPUTED_VALUE"""),"16.001.0015.0451.0122.2085.33.90.40")</f>
        <v>16.001.0015.0451.0122.2085.33.90.40</v>
      </c>
      <c r="S592" s="2" t="str">
        <f ca="1">IFERROR(__xludf.DUMMYFUNCTION("""COMPUTED_VALUE"""),"0000")</f>
        <v>0000</v>
      </c>
      <c r="T592" s="2">
        <f ca="1">IFERROR(__xludf.DUMMYFUNCTION("""COMPUTED_VALUE"""),2024)</f>
        <v>2024</v>
      </c>
      <c r="U592" s="2" t="str">
        <f ca="1">IFERROR(__xludf.DUMMYFUNCTION("""COMPUTED_VALUE"""),"0784")</f>
        <v>0784</v>
      </c>
      <c r="V592" s="2" t="str">
        <f ca="1">IFERROR(__xludf.DUMMYFUNCTION("""COMPUTED_VALUE"""),"13.001.0004.0124.0051.2049.33.90.39")</f>
        <v>13.001.0004.0124.0051.2049.33.90.39</v>
      </c>
      <c r="W592" s="2" t="str">
        <f ca="1">IFERROR(__xludf.DUMMYFUNCTION("""COMPUTED_VALUE"""),"0")</f>
        <v>0</v>
      </c>
      <c r="X592" s="2"/>
      <c r="Y592" s="2"/>
      <c r="Z592" s="2"/>
      <c r="AA592" s="2"/>
      <c r="AB592" s="2"/>
      <c r="AC592" s="2"/>
      <c r="AD592" s="2"/>
      <c r="AE592" s="2"/>
      <c r="AF592" s="2"/>
    </row>
    <row r="593" spans="1:32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>
        <f ca="1">IFERROR(__xludf.DUMMYFUNCTION("""COMPUTED_VALUE"""),2023)</f>
        <v>2023</v>
      </c>
      <c r="Q593" s="2" t="str">
        <f ca="1">IFERROR(__xludf.DUMMYFUNCTION("""COMPUTED_VALUE"""),"0657")</f>
        <v>0657</v>
      </c>
      <c r="R593" s="2" t="str">
        <f ca="1">IFERROR(__xludf.DUMMYFUNCTION("""COMPUTED_VALUE"""),"16.001.0015.0451.0122.2085.33.90.40")</f>
        <v>16.001.0015.0451.0122.2085.33.90.40</v>
      </c>
      <c r="S593" s="2" t="str">
        <f ca="1">IFERROR(__xludf.DUMMYFUNCTION("""COMPUTED_VALUE"""),"05104")</f>
        <v>05104</v>
      </c>
      <c r="T593" s="2">
        <f ca="1">IFERROR(__xludf.DUMMYFUNCTION("""COMPUTED_VALUE"""),2024)</f>
        <v>2024</v>
      </c>
      <c r="U593" s="2" t="str">
        <f ca="1">IFERROR(__xludf.DUMMYFUNCTION("""COMPUTED_VALUE"""),"0785")</f>
        <v>0785</v>
      </c>
      <c r="V593" s="2" t="str">
        <f ca="1">IFERROR(__xludf.DUMMYFUNCTION("""COMPUTED_VALUE"""),"14.001.0028.0061.0000.0001.32.90.22")</f>
        <v>14.001.0028.0061.0000.0001.32.90.22</v>
      </c>
      <c r="W593" s="2" t="str">
        <f ca="1">IFERROR(__xludf.DUMMYFUNCTION("""COMPUTED_VALUE"""),"0")</f>
        <v>0</v>
      </c>
      <c r="X593" s="2"/>
      <c r="Y593" s="2"/>
      <c r="Z593" s="2"/>
      <c r="AA593" s="2"/>
      <c r="AB593" s="2"/>
      <c r="AC593" s="2"/>
      <c r="AD593" s="2"/>
      <c r="AE593" s="2"/>
      <c r="AF593" s="2"/>
    </row>
    <row r="594" spans="1:32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>
        <f ca="1">IFERROR(__xludf.DUMMYFUNCTION("""COMPUTED_VALUE"""),2023)</f>
        <v>2023</v>
      </c>
      <c r="Q594" s="2" t="str">
        <f ca="1">IFERROR(__xludf.DUMMYFUNCTION("""COMPUTED_VALUE"""),"0658")</f>
        <v>0658</v>
      </c>
      <c r="R594" s="2" t="str">
        <f ca="1">IFERROR(__xludf.DUMMYFUNCTION("""COMPUTED_VALUE"""),"16.002.0015.0451.0122.2103.33.90.40")</f>
        <v>16.002.0015.0451.0122.2103.33.90.40</v>
      </c>
      <c r="S594" s="2" t="str">
        <f ca="1">IFERROR(__xludf.DUMMYFUNCTION("""COMPUTED_VALUE"""),"0000")</f>
        <v>0000</v>
      </c>
      <c r="T594" s="2">
        <f ca="1">IFERROR(__xludf.DUMMYFUNCTION("""COMPUTED_VALUE"""),2024)</f>
        <v>2024</v>
      </c>
      <c r="U594" s="2" t="str">
        <f ca="1">IFERROR(__xludf.DUMMYFUNCTION("""COMPUTED_VALUE"""),"0786")</f>
        <v>0786</v>
      </c>
      <c r="V594" s="2" t="str">
        <f ca="1">IFERROR(__xludf.DUMMYFUNCTION("""COMPUTED_VALUE"""),"14.001.0028.0061.0000.0001.33.90.39")</f>
        <v>14.001.0028.0061.0000.0001.33.90.39</v>
      </c>
      <c r="W594" s="2" t="str">
        <f ca="1">IFERROR(__xludf.DUMMYFUNCTION("""COMPUTED_VALUE"""),"0")</f>
        <v>0</v>
      </c>
      <c r="X594" s="2"/>
      <c r="Y594" s="2"/>
      <c r="Z594" s="2"/>
      <c r="AA594" s="2"/>
      <c r="AB594" s="2"/>
      <c r="AC594" s="2"/>
      <c r="AD594" s="2"/>
      <c r="AE594" s="2"/>
      <c r="AF594" s="2"/>
    </row>
    <row r="595" spans="1:32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>
        <f ca="1">IFERROR(__xludf.DUMMYFUNCTION("""COMPUTED_VALUE"""),2023)</f>
        <v>2023</v>
      </c>
      <c r="Q595" s="2" t="str">
        <f ca="1">IFERROR(__xludf.DUMMYFUNCTION("""COMPUTED_VALUE"""),"0659")</f>
        <v>0659</v>
      </c>
      <c r="R595" s="2" t="str">
        <f ca="1">IFERROR(__xludf.DUMMYFUNCTION("""COMPUTED_VALUE"""),"16.002.0015.0451.0122.2103.33.90.40")</f>
        <v>16.002.0015.0451.0122.2103.33.90.40</v>
      </c>
      <c r="S595" s="2" t="str">
        <f ca="1">IFERROR(__xludf.DUMMYFUNCTION("""COMPUTED_VALUE"""),"05104")</f>
        <v>05104</v>
      </c>
      <c r="T595" s="2">
        <f ca="1">IFERROR(__xludf.DUMMYFUNCTION("""COMPUTED_VALUE"""),2024)</f>
        <v>2024</v>
      </c>
      <c r="U595" s="2" t="str">
        <f ca="1">IFERROR(__xludf.DUMMYFUNCTION("""COMPUTED_VALUE"""),"0788")</f>
        <v>0788</v>
      </c>
      <c r="V595" s="2" t="str">
        <f ca="1">IFERROR(__xludf.DUMMYFUNCTION("""COMPUTED_VALUE"""),"14.001.0028.0061.0000.0009.33.90.91")</f>
        <v>14.001.0028.0061.0000.0009.33.90.91</v>
      </c>
      <c r="W595" s="2" t="str">
        <f ca="1">IFERROR(__xludf.DUMMYFUNCTION("""COMPUTED_VALUE"""),"0")</f>
        <v>0</v>
      </c>
      <c r="X595" s="2"/>
      <c r="Y595" s="2"/>
      <c r="Z595" s="2"/>
      <c r="AA595" s="2"/>
      <c r="AB595" s="2"/>
      <c r="AC595" s="2"/>
      <c r="AD595" s="2"/>
      <c r="AE595" s="2"/>
      <c r="AF595" s="2"/>
    </row>
    <row r="596" spans="1:32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>
        <f ca="1">IFERROR(__xludf.DUMMYFUNCTION("""COMPUTED_VALUE"""),2023)</f>
        <v>2023</v>
      </c>
      <c r="Q596" s="2" t="str">
        <f ca="1">IFERROR(__xludf.DUMMYFUNCTION("""COMPUTED_VALUE"""),"0660")</f>
        <v>0660</v>
      </c>
      <c r="R596" s="2" t="str">
        <f ca="1">IFERROR(__xludf.DUMMYFUNCTION("""COMPUTED_VALUE"""),"10.001.0004.0122.0123.2109.33.90.40")</f>
        <v>10.001.0004.0122.0123.2109.33.90.40</v>
      </c>
      <c r="S596" s="2" t="str">
        <f ca="1">IFERROR(__xludf.DUMMYFUNCTION("""COMPUTED_VALUE"""),"0000")</f>
        <v>0000</v>
      </c>
      <c r="T596" s="2">
        <f ca="1">IFERROR(__xludf.DUMMYFUNCTION("""COMPUTED_VALUE"""),2024)</f>
        <v>2024</v>
      </c>
      <c r="U596" s="2" t="str">
        <f ca="1">IFERROR(__xludf.DUMMYFUNCTION("""COMPUTED_VALUE"""),"0789")</f>
        <v>0789</v>
      </c>
      <c r="V596" s="2" t="str">
        <f ca="1">IFERROR(__xludf.DUMMYFUNCTION("""COMPUTED_VALUE"""),"14.001.0028.0843.0000.0005.46.90.71")</f>
        <v>14.001.0028.0843.0000.0005.46.90.71</v>
      </c>
      <c r="W596" s="2" t="str">
        <f ca="1">IFERROR(__xludf.DUMMYFUNCTION("""COMPUTED_VALUE"""),"0")</f>
        <v>0</v>
      </c>
      <c r="X596" s="2"/>
      <c r="Y596" s="2"/>
      <c r="Z596" s="2"/>
      <c r="AA596" s="2"/>
      <c r="AB596" s="2"/>
      <c r="AC596" s="2"/>
      <c r="AD596" s="2"/>
      <c r="AE596" s="2"/>
      <c r="AF596" s="2"/>
    </row>
    <row r="597" spans="1:32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>
        <f ca="1">IFERROR(__xludf.DUMMYFUNCTION("""COMPUTED_VALUE"""),2023)</f>
        <v>2023</v>
      </c>
      <c r="Q597" s="2" t="str">
        <f ca="1">IFERROR(__xludf.DUMMYFUNCTION("""COMPUTED_VALUE"""),"0661")</f>
        <v>0661</v>
      </c>
      <c r="R597" s="2" t="str">
        <f ca="1">IFERROR(__xludf.DUMMYFUNCTION("""COMPUTED_VALUE"""),"10.006.0018.0541.0123.2114.33.90.40")</f>
        <v>10.006.0018.0541.0123.2114.33.90.40</v>
      </c>
      <c r="S597" s="2" t="str">
        <f ca="1">IFERROR(__xludf.DUMMYFUNCTION("""COMPUTED_VALUE"""),"00555")</f>
        <v>00555</v>
      </c>
      <c r="T597" s="2">
        <f ca="1">IFERROR(__xludf.DUMMYFUNCTION("""COMPUTED_VALUE"""),2024)</f>
        <v>2024</v>
      </c>
      <c r="U597" s="2" t="str">
        <f ca="1">IFERROR(__xludf.DUMMYFUNCTION("""COMPUTED_VALUE"""),"0790")</f>
        <v>0790</v>
      </c>
      <c r="V597" s="2" t="str">
        <f ca="1">IFERROR(__xludf.DUMMYFUNCTION("""COMPUTED_VALUE"""),"14.001.0028.0846.0000.0002.33.90.47")</f>
        <v>14.001.0028.0846.0000.0002.33.90.47</v>
      </c>
      <c r="W597" s="2" t="str">
        <f ca="1">IFERROR(__xludf.DUMMYFUNCTION("""COMPUTED_VALUE"""),"0")</f>
        <v>0</v>
      </c>
      <c r="X597" s="2"/>
      <c r="Y597" s="2"/>
      <c r="Z597" s="2"/>
      <c r="AA597" s="2"/>
      <c r="AB597" s="2"/>
      <c r="AC597" s="2"/>
      <c r="AD597" s="2"/>
      <c r="AE597" s="2"/>
      <c r="AF597" s="2"/>
    </row>
    <row r="598" spans="1:32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>
        <f ca="1">IFERROR(__xludf.DUMMYFUNCTION("""COMPUTED_VALUE"""),2023)</f>
        <v>2023</v>
      </c>
      <c r="Q598" s="2" t="str">
        <f ca="1">IFERROR(__xludf.DUMMYFUNCTION("""COMPUTED_VALUE"""),"0662")</f>
        <v>0662</v>
      </c>
      <c r="R598" s="2" t="str">
        <f ca="1">IFERROR(__xludf.DUMMYFUNCTION("""COMPUTED_VALUE"""),"10.007.0018.0541.0123.2115.33.90.40")</f>
        <v>10.007.0018.0541.0123.2115.33.90.40</v>
      </c>
      <c r="S598" s="2" t="str">
        <f ca="1">IFERROR(__xludf.DUMMYFUNCTION("""COMPUTED_VALUE"""),"00555")</f>
        <v>00555</v>
      </c>
      <c r="T598" s="2">
        <f ca="1">IFERROR(__xludf.DUMMYFUNCTION("""COMPUTED_VALUE"""),2024)</f>
        <v>2024</v>
      </c>
      <c r="U598" s="2" t="str">
        <f ca="1">IFERROR(__xludf.DUMMYFUNCTION("""COMPUTED_VALUE"""),"0793")</f>
        <v>0793</v>
      </c>
      <c r="V598" s="2" t="str">
        <f ca="1">IFERROR(__xludf.DUMMYFUNCTION("""COMPUTED_VALUE"""),"14.001.0028.0846.0000.0002.33.90.47")</f>
        <v>14.001.0028.0846.0000.0002.33.90.47</v>
      </c>
      <c r="W598" s="2" t="str">
        <f ca="1">IFERROR(__xludf.DUMMYFUNCTION("""COMPUTED_VALUE"""),"0")</f>
        <v>0</v>
      </c>
      <c r="X598" s="2"/>
      <c r="Y598" s="2"/>
      <c r="Z598" s="2"/>
      <c r="AA598" s="2"/>
      <c r="AB598" s="2"/>
      <c r="AC598" s="2"/>
      <c r="AD598" s="2"/>
      <c r="AE598" s="2"/>
      <c r="AF598" s="2"/>
    </row>
    <row r="599" spans="1:32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>
        <f ca="1">IFERROR(__xludf.DUMMYFUNCTION("""COMPUTED_VALUE"""),2023)</f>
        <v>2023</v>
      </c>
      <c r="Q599" s="2" t="str">
        <f ca="1">IFERROR(__xludf.DUMMYFUNCTION("""COMPUTED_VALUE"""),"0664")</f>
        <v>0664</v>
      </c>
      <c r="R599" s="2" t="str">
        <f ca="1">IFERROR(__xludf.DUMMYFUNCTION("""COMPUTED_VALUE"""),"18.003.0015.0121.0140.1030.33.90.40")</f>
        <v>18.003.0015.0121.0140.1030.33.90.40</v>
      </c>
      <c r="S599" s="2" t="str">
        <f ca="1">IFERROR(__xludf.DUMMYFUNCTION("""COMPUTED_VALUE"""),"0000")</f>
        <v>0000</v>
      </c>
      <c r="T599" s="2">
        <f ca="1">IFERROR(__xludf.DUMMYFUNCTION("""COMPUTED_VALUE"""),2024)</f>
        <v>2024</v>
      </c>
      <c r="U599" s="2" t="str">
        <f ca="1">IFERROR(__xludf.DUMMYFUNCTION("""COMPUTED_VALUE"""),"0794")</f>
        <v>0794</v>
      </c>
      <c r="V599" s="2" t="str">
        <f ca="1">IFERROR(__xludf.DUMMYFUNCTION("""COMPUTED_VALUE"""),"14.001.0028.0846.0000.0002.33.90.47")</f>
        <v>14.001.0028.0846.0000.0002.33.90.47</v>
      </c>
      <c r="W599" s="2" t="str">
        <f ca="1">IFERROR(__xludf.DUMMYFUNCTION("""COMPUTED_VALUE"""),"504")</f>
        <v>504</v>
      </c>
      <c r="X599" s="2"/>
      <c r="Y599" s="2"/>
      <c r="Z599" s="2"/>
      <c r="AA599" s="2"/>
      <c r="AB599" s="2"/>
      <c r="AC599" s="2"/>
      <c r="AD599" s="2"/>
      <c r="AE599" s="2"/>
      <c r="AF599" s="2"/>
    </row>
    <row r="600" spans="1:32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>
        <f ca="1">IFERROR(__xludf.DUMMYFUNCTION("""COMPUTED_VALUE"""),2023)</f>
        <v>2023</v>
      </c>
      <c r="Q600" s="2" t="str">
        <f ca="1">IFERROR(__xludf.DUMMYFUNCTION("""COMPUTED_VALUE"""),"0665")</f>
        <v>0665</v>
      </c>
      <c r="R600" s="2" t="str">
        <f ca="1">IFERROR(__xludf.DUMMYFUNCTION("""COMPUTED_VALUE"""),"18.003.0015.0121.0140.1030.33.90.40")</f>
        <v>18.003.0015.0121.0140.1030.33.90.40</v>
      </c>
      <c r="S600" s="2" t="str">
        <f ca="1">IFERROR(__xludf.DUMMYFUNCTION("""COMPUTED_VALUE"""),"00509")</f>
        <v>00509</v>
      </c>
      <c r="T600" s="2">
        <f ca="1">IFERROR(__xludf.DUMMYFUNCTION("""COMPUTED_VALUE"""),2024)</f>
        <v>2024</v>
      </c>
      <c r="U600" s="2" t="str">
        <f ca="1">IFERROR(__xludf.DUMMYFUNCTION("""COMPUTED_VALUE"""),"0795")</f>
        <v>0795</v>
      </c>
      <c r="V600" s="2" t="str">
        <f ca="1">IFERROR(__xludf.DUMMYFUNCTION("""COMPUTED_VALUE"""),"14.001.0028.0846.0000.0002.33.90.47")</f>
        <v>14.001.0028.0846.0000.0002.33.90.47</v>
      </c>
      <c r="W600" s="2" t="str">
        <f ca="1">IFERROR(__xludf.DUMMYFUNCTION("""COMPUTED_VALUE"""),"509")</f>
        <v>509</v>
      </c>
      <c r="X600" s="2"/>
      <c r="Y600" s="2"/>
      <c r="Z600" s="2"/>
      <c r="AA600" s="2"/>
      <c r="AB600" s="2"/>
      <c r="AC600" s="2"/>
      <c r="AD600" s="2"/>
      <c r="AE600" s="2"/>
      <c r="AF600" s="2"/>
    </row>
    <row r="601" spans="1:32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>
        <f ca="1">IFERROR(__xludf.DUMMYFUNCTION("""COMPUTED_VALUE"""),2023)</f>
        <v>2023</v>
      </c>
      <c r="Q601" s="2" t="str">
        <f ca="1">IFERROR(__xludf.DUMMYFUNCTION("""COMPUTED_VALUE"""),"0666")</f>
        <v>0666</v>
      </c>
      <c r="R601" s="2" t="str">
        <f ca="1">IFERROR(__xludf.DUMMYFUNCTION("""COMPUTED_VALUE"""),"18.004.0015.0182.0140.1076.33.90.40")</f>
        <v>18.004.0015.0182.0140.1076.33.90.40</v>
      </c>
      <c r="S601" s="2" t="str">
        <f ca="1">IFERROR(__xludf.DUMMYFUNCTION("""COMPUTED_VALUE"""),"0000")</f>
        <v>0000</v>
      </c>
      <c r="T601" s="2">
        <f ca="1">IFERROR(__xludf.DUMMYFUNCTION("""COMPUTED_VALUE"""),2024)</f>
        <v>2024</v>
      </c>
      <c r="U601" s="2" t="str">
        <f ca="1">IFERROR(__xludf.DUMMYFUNCTION("""COMPUTED_VALUE"""),"0796")</f>
        <v>0796</v>
      </c>
      <c r="V601" s="2" t="str">
        <f ca="1">IFERROR(__xludf.DUMMYFUNCTION("""COMPUTED_VALUE"""),"14.001.0028.0846.0000.0004.33.91.97")</f>
        <v>14.001.0028.0846.0000.0004.33.91.97</v>
      </c>
      <c r="W601" s="2" t="str">
        <f ca="1">IFERROR(__xludf.DUMMYFUNCTION("""COMPUTED_VALUE"""),"512")</f>
        <v>512</v>
      </c>
      <c r="X601" s="2"/>
      <c r="Y601" s="2"/>
      <c r="Z601" s="2"/>
      <c r="AA601" s="2"/>
      <c r="AB601" s="2"/>
      <c r="AC601" s="2"/>
      <c r="AD601" s="2"/>
      <c r="AE601" s="2"/>
      <c r="AF601" s="2"/>
    </row>
    <row r="602" spans="1:3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>
        <f ca="1">IFERROR(__xludf.DUMMYFUNCTION("""COMPUTED_VALUE"""),2023)</f>
        <v>2023</v>
      </c>
      <c r="Q602" s="2" t="str">
        <f ca="1">IFERROR(__xludf.DUMMYFUNCTION("""COMPUTED_VALUE"""),"0667")</f>
        <v>0667</v>
      </c>
      <c r="R602" s="2" t="str">
        <f ca="1">IFERROR(__xludf.DUMMYFUNCTION("""COMPUTED_VALUE"""),"18.001.0004.0121.0140.2023.33.90.40")</f>
        <v>18.001.0004.0121.0140.2023.33.90.40</v>
      </c>
      <c r="S602" s="2" t="str">
        <f ca="1">IFERROR(__xludf.DUMMYFUNCTION("""COMPUTED_VALUE"""),"0000")</f>
        <v>0000</v>
      </c>
      <c r="T602" s="2">
        <f ca="1">IFERROR(__xludf.DUMMYFUNCTION("""COMPUTED_VALUE"""),2024)</f>
        <v>2024</v>
      </c>
      <c r="U602" s="2" t="str">
        <f ca="1">IFERROR(__xludf.DUMMYFUNCTION("""COMPUTED_VALUE"""),"0798")</f>
        <v>0798</v>
      </c>
      <c r="V602" s="2" t="str">
        <f ca="1">IFERROR(__xludf.DUMMYFUNCTION("""COMPUTED_VALUE"""),"14.001.0028.0846.0000.0006.44.90.61")</f>
        <v>14.001.0028.0846.0000.0006.44.90.61</v>
      </c>
      <c r="W602" s="2" t="str">
        <f ca="1">IFERROR(__xludf.DUMMYFUNCTION("""COMPUTED_VALUE"""),"0")</f>
        <v>0</v>
      </c>
      <c r="X602" s="2"/>
      <c r="Y602" s="2"/>
      <c r="Z602" s="2"/>
      <c r="AA602" s="2"/>
      <c r="AB602" s="2"/>
      <c r="AC602" s="2"/>
      <c r="AD602" s="2"/>
      <c r="AE602" s="2"/>
      <c r="AF602" s="2"/>
    </row>
    <row r="603" spans="1:32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>
        <f ca="1">IFERROR(__xludf.DUMMYFUNCTION("""COMPUTED_VALUE"""),2023)</f>
        <v>2023</v>
      </c>
      <c r="Q603" s="2" t="str">
        <f ca="1">IFERROR(__xludf.DUMMYFUNCTION("""COMPUTED_VALUE"""),"0668")</f>
        <v>0668</v>
      </c>
      <c r="R603" s="2" t="str">
        <f ca="1">IFERROR(__xludf.DUMMYFUNCTION("""COMPUTED_VALUE"""),"18.002.0006.0181.0140.2024.33.90.40")</f>
        <v>18.002.0006.0181.0140.2024.33.90.40</v>
      </c>
      <c r="S603" s="2" t="str">
        <f ca="1">IFERROR(__xludf.DUMMYFUNCTION("""COMPUTED_VALUE"""),"0000")</f>
        <v>0000</v>
      </c>
      <c r="T603" s="2">
        <f ca="1">IFERROR(__xludf.DUMMYFUNCTION("""COMPUTED_VALUE"""),2024)</f>
        <v>2024</v>
      </c>
      <c r="U603" s="2" t="str">
        <f ca="1">IFERROR(__xludf.DUMMYFUNCTION("""COMPUTED_VALUE"""),"0799")</f>
        <v>0799</v>
      </c>
      <c r="V603" s="2" t="str">
        <f ca="1">IFERROR(__xludf.DUMMYFUNCTION("""COMPUTED_VALUE"""),"14.001.0028.0846.0000.0007.44.90.61")</f>
        <v>14.001.0028.0846.0000.0007.44.90.61</v>
      </c>
      <c r="W603" s="2" t="str">
        <f ca="1">IFERROR(__xludf.DUMMYFUNCTION("""COMPUTED_VALUE"""),"0")</f>
        <v>0</v>
      </c>
      <c r="X603" s="2"/>
      <c r="Y603" s="2"/>
      <c r="Z603" s="2"/>
      <c r="AA603" s="2"/>
      <c r="AB603" s="2"/>
      <c r="AC603" s="2"/>
      <c r="AD603" s="2"/>
      <c r="AE603" s="2"/>
      <c r="AF603" s="2"/>
    </row>
    <row r="604" spans="1:32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>
        <f ca="1">IFERROR(__xludf.DUMMYFUNCTION("""COMPUTED_VALUE"""),2023)</f>
        <v>2023</v>
      </c>
      <c r="Q604" s="2" t="str">
        <f ca="1">IFERROR(__xludf.DUMMYFUNCTION("""COMPUTED_VALUE"""),"0669")</f>
        <v>0669</v>
      </c>
      <c r="R604" s="2" t="str">
        <f ca="1">IFERROR(__xludf.DUMMYFUNCTION("""COMPUTED_VALUE"""),"18.002.0006.0181.0140.2024.33.90.40")</f>
        <v>18.002.0006.0181.0140.2024.33.90.40</v>
      </c>
      <c r="S604" s="2" t="str">
        <f ca="1">IFERROR(__xludf.DUMMYFUNCTION("""COMPUTED_VALUE"""),"01011")</f>
        <v>01011</v>
      </c>
      <c r="T604" s="2">
        <f ca="1">IFERROR(__xludf.DUMMYFUNCTION("""COMPUTED_VALUE"""),2024)</f>
        <v>2024</v>
      </c>
      <c r="U604" s="2" t="str">
        <f ca="1">IFERROR(__xludf.DUMMYFUNCTION("""COMPUTED_VALUE"""),"0801")</f>
        <v>0801</v>
      </c>
      <c r="V604" s="2" t="str">
        <f ca="1">IFERROR(__xludf.DUMMYFUNCTION("""COMPUTED_VALUE"""),"14.001.0028.0846.0000.0008.32.90.21")</f>
        <v>14.001.0028.0846.0000.0008.32.90.21</v>
      </c>
      <c r="W604" s="2" t="str">
        <f ca="1">IFERROR(__xludf.DUMMYFUNCTION("""COMPUTED_VALUE"""),"0")</f>
        <v>0</v>
      </c>
      <c r="X604" s="2"/>
      <c r="Y604" s="2"/>
      <c r="Z604" s="2"/>
      <c r="AA604" s="2"/>
      <c r="AB604" s="2"/>
      <c r="AC604" s="2"/>
      <c r="AD604" s="2"/>
      <c r="AE604" s="2"/>
      <c r="AF604" s="2"/>
    </row>
    <row r="605" spans="1:32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>
        <f ca="1">IFERROR(__xludf.DUMMYFUNCTION("""COMPUTED_VALUE"""),2023)</f>
        <v>2023</v>
      </c>
      <c r="Q605" s="2" t="str">
        <f ca="1">IFERROR(__xludf.DUMMYFUNCTION("""COMPUTED_VALUE"""),"0670")</f>
        <v>0670</v>
      </c>
      <c r="R605" s="2" t="str">
        <f ca="1">IFERROR(__xludf.DUMMYFUNCTION("""COMPUTED_VALUE"""),"18.003.0015.0452.0140.2027.33.90.40")</f>
        <v>18.003.0015.0452.0140.2027.33.90.40</v>
      </c>
      <c r="S605" s="2" t="str">
        <f ca="1">IFERROR(__xludf.DUMMYFUNCTION("""COMPUTED_VALUE"""),"0000")</f>
        <v>0000</v>
      </c>
      <c r="T605" s="2">
        <f ca="1">IFERROR(__xludf.DUMMYFUNCTION("""COMPUTED_VALUE"""),2024)</f>
        <v>2024</v>
      </c>
      <c r="U605" s="2" t="str">
        <f ca="1">IFERROR(__xludf.DUMMYFUNCTION("""COMPUTED_VALUE"""),"0803")</f>
        <v>0803</v>
      </c>
      <c r="V605" s="2" t="str">
        <f ca="1">IFERROR(__xludf.DUMMYFUNCTION("""COMPUTED_VALUE"""),"14.001.0028.0846.0000.0012.33.90.93")</f>
        <v>14.001.0028.0846.0000.0012.33.90.93</v>
      </c>
      <c r="W605" s="2" t="str">
        <f ca="1">IFERROR(__xludf.DUMMYFUNCTION("""COMPUTED_VALUE"""),"0")</f>
        <v>0</v>
      </c>
      <c r="X605" s="2"/>
      <c r="Y605" s="2"/>
      <c r="Z605" s="2"/>
      <c r="AA605" s="2"/>
      <c r="AB605" s="2"/>
      <c r="AC605" s="2"/>
      <c r="AD605" s="2"/>
      <c r="AE605" s="2"/>
      <c r="AF605" s="2"/>
    </row>
    <row r="606" spans="1:32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>
        <f ca="1">IFERROR(__xludf.DUMMYFUNCTION("""COMPUTED_VALUE"""),2023)</f>
        <v>2023</v>
      </c>
      <c r="Q606" s="2" t="str">
        <f ca="1">IFERROR(__xludf.DUMMYFUNCTION("""COMPUTED_VALUE"""),"0671")</f>
        <v>0671</v>
      </c>
      <c r="R606" s="2" t="str">
        <f ca="1">IFERROR(__xludf.DUMMYFUNCTION("""COMPUTED_VALUE"""),"18.003.0015.0452.0140.2027.33.90.40")</f>
        <v>18.003.0015.0452.0140.2027.33.90.40</v>
      </c>
      <c r="S606" s="2" t="str">
        <f ca="1">IFERROR(__xludf.DUMMYFUNCTION("""COMPUTED_VALUE"""),"00509")</f>
        <v>00509</v>
      </c>
      <c r="T606" s="2">
        <f ca="1">IFERROR(__xludf.DUMMYFUNCTION("""COMPUTED_VALUE"""),2024)</f>
        <v>2024</v>
      </c>
      <c r="U606" s="2" t="str">
        <f ca="1">IFERROR(__xludf.DUMMYFUNCTION("""COMPUTED_VALUE"""),"1124")</f>
        <v>1124</v>
      </c>
      <c r="V606" s="2" t="str">
        <f ca="1">IFERROR(__xludf.DUMMYFUNCTION("""COMPUTED_VALUE"""),"14.001.0099.0999.9999.9999.99.99.99")</f>
        <v>14.001.0099.0999.9999.9999.99.99.99</v>
      </c>
      <c r="W606" s="2" t="str">
        <f ca="1">IFERROR(__xludf.DUMMYFUNCTION("""COMPUTED_VALUE"""),"0")</f>
        <v>0</v>
      </c>
      <c r="X606" s="2"/>
      <c r="Y606" s="2"/>
      <c r="Z606" s="2"/>
      <c r="AA606" s="2"/>
      <c r="AB606" s="2"/>
      <c r="AC606" s="2"/>
      <c r="AD606" s="2"/>
      <c r="AE606" s="2"/>
      <c r="AF606" s="2"/>
    </row>
    <row r="607" spans="1:32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>
        <f ca="1">IFERROR(__xludf.DUMMYFUNCTION("""COMPUTED_VALUE"""),2023)</f>
        <v>2023</v>
      </c>
      <c r="Q607" s="2" t="str">
        <f ca="1">IFERROR(__xludf.DUMMYFUNCTION("""COMPUTED_VALUE"""),"0672")</f>
        <v>0672</v>
      </c>
      <c r="R607" s="2" t="str">
        <f ca="1">IFERROR(__xludf.DUMMYFUNCTION("""COMPUTED_VALUE"""),"18.004.0006.0181.0140.2142.33.90.40")</f>
        <v>18.004.0006.0181.0140.2142.33.90.40</v>
      </c>
      <c r="S607" s="2" t="str">
        <f ca="1">IFERROR(__xludf.DUMMYFUNCTION("""COMPUTED_VALUE"""),"0000")</f>
        <v>0000</v>
      </c>
      <c r="T607" s="2">
        <f ca="1">IFERROR(__xludf.DUMMYFUNCTION("""COMPUTED_VALUE"""),2024)</f>
        <v>2024</v>
      </c>
      <c r="U607" s="2" t="str">
        <f ca="1">IFERROR(__xludf.DUMMYFUNCTION("""COMPUTED_VALUE"""),"0804")</f>
        <v>0804</v>
      </c>
      <c r="V607" s="2" t="str">
        <f ca="1">IFERROR(__xludf.DUMMYFUNCTION("""COMPUTED_VALUE"""),"15.001.0004.0122.0022.2117.33.90.30")</f>
        <v>15.001.0004.0122.0022.2117.33.90.30</v>
      </c>
      <c r="W607" s="2" t="str">
        <f ca="1">IFERROR(__xludf.DUMMYFUNCTION("""COMPUTED_VALUE"""),"0")</f>
        <v>0</v>
      </c>
      <c r="X607" s="2"/>
      <c r="Y607" s="2"/>
      <c r="Z607" s="2"/>
      <c r="AA607" s="2"/>
      <c r="AB607" s="2"/>
      <c r="AC607" s="2"/>
      <c r="AD607" s="2"/>
      <c r="AE607" s="2"/>
      <c r="AF607" s="2"/>
    </row>
    <row r="608" spans="1:32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>
        <f ca="1">IFERROR(__xludf.DUMMYFUNCTION("""COMPUTED_VALUE"""),2023)</f>
        <v>2023</v>
      </c>
      <c r="Q608" s="2" t="str">
        <f ca="1">IFERROR(__xludf.DUMMYFUNCTION("""COMPUTED_VALUE"""),"0673")</f>
        <v>0673</v>
      </c>
      <c r="R608" s="2" t="str">
        <f ca="1">IFERROR(__xludf.DUMMYFUNCTION("""COMPUTED_VALUE"""),"18.004.0006.0181.0140.2142.33.90.40")</f>
        <v>18.004.0006.0181.0140.2142.33.90.40</v>
      </c>
      <c r="S608" s="2" t="str">
        <f ca="1">IFERROR(__xludf.DUMMYFUNCTION("""COMPUTED_VALUE"""),"00509")</f>
        <v>00509</v>
      </c>
      <c r="T608" s="2">
        <f ca="1">IFERROR(__xludf.DUMMYFUNCTION("""COMPUTED_VALUE"""),2024)</f>
        <v>2024</v>
      </c>
      <c r="U608" s="2" t="str">
        <f ca="1">IFERROR(__xludf.DUMMYFUNCTION("""COMPUTED_VALUE"""),"0806")</f>
        <v>0806</v>
      </c>
      <c r="V608" s="2" t="str">
        <f ca="1">IFERROR(__xludf.DUMMYFUNCTION("""COMPUTED_VALUE"""),"15.001.0004.0122.0022.2117.33.90.39")</f>
        <v>15.001.0004.0122.0022.2117.33.90.39</v>
      </c>
      <c r="W608" s="2" t="str">
        <f ca="1">IFERROR(__xludf.DUMMYFUNCTION("""COMPUTED_VALUE"""),"0")</f>
        <v>0</v>
      </c>
      <c r="X608" s="2"/>
      <c r="Y608" s="2"/>
      <c r="Z608" s="2"/>
      <c r="AA608" s="2"/>
      <c r="AB608" s="2"/>
      <c r="AC608" s="2"/>
      <c r="AD608" s="2"/>
      <c r="AE608" s="2"/>
      <c r="AF608" s="2"/>
    </row>
    <row r="609" spans="1:32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>
        <f ca="1">IFERROR(__xludf.DUMMYFUNCTION("""COMPUTED_VALUE"""),2023)</f>
        <v>2023</v>
      </c>
      <c r="Q609" s="2" t="str">
        <f ca="1">IFERROR(__xludf.DUMMYFUNCTION("""COMPUTED_VALUE"""),"0674")</f>
        <v>0674</v>
      </c>
      <c r="R609" s="2" t="str">
        <f ca="1">IFERROR(__xludf.DUMMYFUNCTION("""COMPUTED_VALUE"""),"18.004.0006.0181.0140.2142.33.90.40")</f>
        <v>18.004.0006.0181.0140.2142.33.90.40</v>
      </c>
      <c r="S609" s="2" t="str">
        <f ca="1">IFERROR(__xludf.DUMMYFUNCTION("""COMPUTED_VALUE"""),"01011")</f>
        <v>01011</v>
      </c>
      <c r="T609" s="2">
        <f ca="1">IFERROR(__xludf.DUMMYFUNCTION("""COMPUTED_VALUE"""),2024)</f>
        <v>2024</v>
      </c>
      <c r="U609" s="2" t="str">
        <f ca="1">IFERROR(__xludf.DUMMYFUNCTION("""COMPUTED_VALUE"""),"0807")</f>
        <v>0807</v>
      </c>
      <c r="V609" s="2" t="str">
        <f ca="1">IFERROR(__xludf.DUMMYFUNCTION("""COMPUTED_VALUE"""),"16.001.0015.0451.0122.1037.44.90.52")</f>
        <v>16.001.0015.0451.0122.1037.44.90.52</v>
      </c>
      <c r="W609" s="2" t="str">
        <f ca="1">IFERROR(__xludf.DUMMYFUNCTION("""COMPUTED_VALUE"""),"0")</f>
        <v>0</v>
      </c>
      <c r="X609" s="2"/>
      <c r="Y609" s="2"/>
      <c r="Z609" s="2"/>
      <c r="AA609" s="2"/>
      <c r="AB609" s="2"/>
      <c r="AC609" s="2"/>
      <c r="AD609" s="2"/>
      <c r="AE609" s="2"/>
      <c r="AF609" s="2"/>
    </row>
    <row r="610" spans="1:32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>
        <f ca="1">IFERROR(__xludf.DUMMYFUNCTION("""COMPUTED_VALUE"""),2023)</f>
        <v>2023</v>
      </c>
      <c r="Q610" s="2" t="str">
        <f ca="1">IFERROR(__xludf.DUMMYFUNCTION("""COMPUTED_VALUE"""),"0675")</f>
        <v>0675</v>
      </c>
      <c r="R610" s="2" t="str">
        <f ca="1">IFERROR(__xludf.DUMMYFUNCTION("""COMPUTED_VALUE"""),"18.004.0015.0452.0140.2145.33.90.40")</f>
        <v>18.004.0015.0452.0140.2145.33.90.40</v>
      </c>
      <c r="S610" s="2" t="str">
        <f ca="1">IFERROR(__xludf.DUMMYFUNCTION("""COMPUTED_VALUE"""),"0000")</f>
        <v>0000</v>
      </c>
      <c r="T610" s="2">
        <f ca="1">IFERROR(__xludf.DUMMYFUNCTION("""COMPUTED_VALUE"""),2024)</f>
        <v>2024</v>
      </c>
      <c r="U610" s="2" t="str">
        <f ca="1">IFERROR(__xludf.DUMMYFUNCTION("""COMPUTED_VALUE"""),"0809")</f>
        <v>0809</v>
      </c>
      <c r="V610" s="2" t="str">
        <f ca="1">IFERROR(__xludf.DUMMYFUNCTION("""COMPUTED_VALUE"""),"16.001.0015.0451.0122.2085.33.90.30")</f>
        <v>16.001.0015.0451.0122.2085.33.90.30</v>
      </c>
      <c r="W610" s="2" t="str">
        <f ca="1">IFERROR(__xludf.DUMMYFUNCTION("""COMPUTED_VALUE"""),"0")</f>
        <v>0</v>
      </c>
      <c r="X610" s="2"/>
      <c r="Y610" s="2"/>
      <c r="Z610" s="2"/>
      <c r="AA610" s="2"/>
      <c r="AB610" s="2"/>
      <c r="AC610" s="2"/>
      <c r="AD610" s="2"/>
      <c r="AE610" s="2"/>
      <c r="AF610" s="2"/>
    </row>
    <row r="611" spans="1:32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>
        <f ca="1">IFERROR(__xludf.DUMMYFUNCTION("""COMPUTED_VALUE"""),2023)</f>
        <v>2023</v>
      </c>
      <c r="Q611" s="2" t="str">
        <f ca="1">IFERROR(__xludf.DUMMYFUNCTION("""COMPUTED_VALUE"""),"0676")</f>
        <v>0676</v>
      </c>
      <c r="R611" s="2" t="str">
        <f ca="1">IFERROR(__xludf.DUMMYFUNCTION("""COMPUTED_VALUE"""),"04.002.0004.0122.0040.2005.33.90.46")</f>
        <v>04.002.0004.0122.0040.2005.33.90.46</v>
      </c>
      <c r="S611" s="2" t="str">
        <f ca="1">IFERROR(__xludf.DUMMYFUNCTION("""COMPUTED_VALUE"""),"0000")</f>
        <v>0000</v>
      </c>
      <c r="T611" s="2">
        <f ca="1">IFERROR(__xludf.DUMMYFUNCTION("""COMPUTED_VALUE"""),2024)</f>
        <v>2024</v>
      </c>
      <c r="U611" s="2" t="str">
        <f ca="1">IFERROR(__xludf.DUMMYFUNCTION("""COMPUTED_VALUE"""),"0812")</f>
        <v>0812</v>
      </c>
      <c r="V611" s="2" t="str">
        <f ca="1">IFERROR(__xludf.DUMMYFUNCTION("""COMPUTED_VALUE"""),"16.001.0015.0451.0122.2085.33.90.33")</f>
        <v>16.001.0015.0451.0122.2085.33.90.33</v>
      </c>
      <c r="W611" s="2" t="str">
        <f ca="1">IFERROR(__xludf.DUMMYFUNCTION("""COMPUTED_VALUE"""),"0")</f>
        <v>0</v>
      </c>
      <c r="X611" s="2"/>
      <c r="Y611" s="2"/>
      <c r="Z611" s="2"/>
      <c r="AA611" s="2"/>
      <c r="AB611" s="2"/>
      <c r="AC611" s="2"/>
      <c r="AD611" s="2"/>
      <c r="AE611" s="2"/>
      <c r="AF611" s="2"/>
    </row>
    <row r="612" spans="1:3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>
        <f ca="1">IFERROR(__xludf.DUMMYFUNCTION("""COMPUTED_VALUE"""),2023)</f>
        <v>2023</v>
      </c>
      <c r="Q612" s="2" t="str">
        <f ca="1">IFERROR(__xludf.DUMMYFUNCTION("""COMPUTED_VALUE"""),"0677")</f>
        <v>0677</v>
      </c>
      <c r="R612" s="2" t="str">
        <f ca="1">IFERROR(__xludf.DUMMYFUNCTION("""COMPUTED_VALUE"""),"05.004.0012.0361.0074.6017.33.90.46")</f>
        <v>05.004.0012.0361.0074.6017.33.90.46</v>
      </c>
      <c r="S612" s="2" t="str">
        <f ca="1">IFERROR(__xludf.DUMMYFUNCTION("""COMPUTED_VALUE"""),"0000")</f>
        <v>0000</v>
      </c>
      <c r="T612" s="2">
        <f ca="1">IFERROR(__xludf.DUMMYFUNCTION("""COMPUTED_VALUE"""),2024)</f>
        <v>2024</v>
      </c>
      <c r="U612" s="2" t="str">
        <f ca="1">IFERROR(__xludf.DUMMYFUNCTION("""COMPUTED_VALUE"""),"0813")</f>
        <v>0813</v>
      </c>
      <c r="V612" s="2" t="str">
        <f ca="1">IFERROR(__xludf.DUMMYFUNCTION("""COMPUTED_VALUE"""),"16.001.0015.0451.0122.2085.33.90.39")</f>
        <v>16.001.0015.0451.0122.2085.33.90.39</v>
      </c>
      <c r="W612" s="2" t="str">
        <f ca="1">IFERROR(__xludf.DUMMYFUNCTION("""COMPUTED_VALUE"""),"0")</f>
        <v>0</v>
      </c>
      <c r="X612" s="2"/>
      <c r="Y612" s="2"/>
      <c r="Z612" s="2"/>
      <c r="AA612" s="2"/>
      <c r="AB612" s="2"/>
      <c r="AC612" s="2"/>
      <c r="AD612" s="2"/>
      <c r="AE612" s="2"/>
      <c r="AF612" s="2"/>
    </row>
    <row r="613" spans="1:32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>
        <f ca="1">IFERROR(__xludf.DUMMYFUNCTION("""COMPUTED_VALUE"""),2023)</f>
        <v>2023</v>
      </c>
      <c r="Q613" s="2" t="str">
        <f ca="1">IFERROR(__xludf.DUMMYFUNCTION("""COMPUTED_VALUE"""),"0678")</f>
        <v>0678</v>
      </c>
      <c r="R613" s="2" t="str">
        <f ca="1">IFERROR(__xludf.DUMMYFUNCTION("""COMPUTED_VALUE"""),"06.001.0010.0301.0094.2037.33.90.46")</f>
        <v>06.001.0010.0301.0094.2037.33.90.46</v>
      </c>
      <c r="S613" s="2" t="str">
        <f ca="1">IFERROR(__xludf.DUMMYFUNCTION("""COMPUTED_VALUE"""),"0000")</f>
        <v>0000</v>
      </c>
      <c r="T613" s="2">
        <f ca="1">IFERROR(__xludf.DUMMYFUNCTION("""COMPUTED_VALUE"""),2024)</f>
        <v>2024</v>
      </c>
      <c r="U613" s="2" t="str">
        <f ca="1">IFERROR(__xludf.DUMMYFUNCTION("""COMPUTED_VALUE"""),"0814")</f>
        <v>0814</v>
      </c>
      <c r="V613" s="2" t="str">
        <f ca="1">IFERROR(__xludf.DUMMYFUNCTION("""COMPUTED_VALUE"""),"16.001.0015.0451.0122.2085.33.90.40")</f>
        <v>16.001.0015.0451.0122.2085.33.90.40</v>
      </c>
      <c r="W613" s="2" t="str">
        <f ca="1">IFERROR(__xludf.DUMMYFUNCTION("""COMPUTED_VALUE"""),"0")</f>
        <v>0</v>
      </c>
      <c r="X613" s="2"/>
      <c r="Y613" s="2"/>
      <c r="Z613" s="2"/>
      <c r="AA613" s="2"/>
      <c r="AB613" s="2"/>
      <c r="AC613" s="2"/>
      <c r="AD613" s="2"/>
      <c r="AE613" s="2"/>
      <c r="AF613" s="2"/>
    </row>
    <row r="614" spans="1:32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>
        <f ca="1">IFERROR(__xludf.DUMMYFUNCTION("""COMPUTED_VALUE"""),2023)</f>
        <v>2023</v>
      </c>
      <c r="Q614" s="2" t="str">
        <f ca="1">IFERROR(__xludf.DUMMYFUNCTION("""COMPUTED_VALUE"""),"0679")</f>
        <v>0679</v>
      </c>
      <c r="R614" s="2" t="str">
        <f ca="1">IFERROR(__xludf.DUMMYFUNCTION("""COMPUTED_VALUE"""),"06.001.0010.0301.0094.2037.33.90.46")</f>
        <v>06.001.0010.0301.0094.2037.33.90.46</v>
      </c>
      <c r="S614" s="2" t="str">
        <f ca="1">IFERROR(__xludf.DUMMYFUNCTION("""COMPUTED_VALUE"""),"00303")</f>
        <v>00303</v>
      </c>
      <c r="T614" s="2">
        <f ca="1">IFERROR(__xludf.DUMMYFUNCTION("""COMPUTED_VALUE"""),2024)</f>
        <v>2024</v>
      </c>
      <c r="U614" s="2" t="str">
        <f ca="1">IFERROR(__xludf.DUMMYFUNCTION("""COMPUTED_VALUE"""),"0815")</f>
        <v>0815</v>
      </c>
      <c r="V614" s="2" t="str">
        <f ca="1">IFERROR(__xludf.DUMMYFUNCTION("""COMPUTED_VALUE"""),"16.002.0015.0451.0122.2103.33.90.30")</f>
        <v>16.002.0015.0451.0122.2103.33.90.30</v>
      </c>
      <c r="W614" s="2" t="str">
        <f ca="1">IFERROR(__xludf.DUMMYFUNCTION("""COMPUTED_VALUE"""),"0")</f>
        <v>0</v>
      </c>
      <c r="X614" s="2"/>
      <c r="Y614" s="2"/>
      <c r="Z614" s="2"/>
      <c r="AA614" s="2"/>
      <c r="AB614" s="2"/>
      <c r="AC614" s="2"/>
      <c r="AD614" s="2"/>
      <c r="AE614" s="2"/>
      <c r="AF614" s="2"/>
    </row>
    <row r="615" spans="1:32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>
        <f ca="1">IFERROR(__xludf.DUMMYFUNCTION("""COMPUTED_VALUE"""),2023)</f>
        <v>2023</v>
      </c>
      <c r="Q615" s="2" t="str">
        <f ca="1">IFERROR(__xludf.DUMMYFUNCTION("""COMPUTED_VALUE"""),"0681")</f>
        <v>0681</v>
      </c>
      <c r="R615" s="2" t="str">
        <f ca="1">IFERROR(__xludf.DUMMYFUNCTION("""COMPUTED_VALUE"""),"14.001.0028.0846.0000.0002.33.90.47")</f>
        <v>14.001.0028.0846.0000.0002.33.90.47</v>
      </c>
      <c r="S615" s="2" t="str">
        <f ca="1">IFERROR(__xludf.DUMMYFUNCTION("""COMPUTED_VALUE"""),"0000")</f>
        <v>0000</v>
      </c>
      <c r="T615" s="2">
        <f ca="1">IFERROR(__xludf.DUMMYFUNCTION("""COMPUTED_VALUE"""),2024)</f>
        <v>2024</v>
      </c>
      <c r="U615" s="2" t="str">
        <f ca="1">IFERROR(__xludf.DUMMYFUNCTION("""COMPUTED_VALUE"""),"0823")</f>
        <v>0823</v>
      </c>
      <c r="V615" s="2" t="str">
        <f ca="1">IFERROR(__xludf.DUMMYFUNCTION("""COMPUTED_VALUE"""),"16.002.0015.0451.0122.2103.33.90.40")</f>
        <v>16.002.0015.0451.0122.2103.33.90.40</v>
      </c>
      <c r="W615" s="2" t="str">
        <f ca="1">IFERROR(__xludf.DUMMYFUNCTION("""COMPUTED_VALUE"""),"0")</f>
        <v>0</v>
      </c>
      <c r="X615" s="2"/>
      <c r="Y615" s="2"/>
      <c r="Z615" s="2"/>
      <c r="AA615" s="2"/>
      <c r="AB615" s="2"/>
      <c r="AC615" s="2"/>
      <c r="AD615" s="2"/>
      <c r="AE615" s="2"/>
      <c r="AF615" s="2"/>
    </row>
    <row r="616" spans="1:32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>
        <f ca="1">IFERROR(__xludf.DUMMYFUNCTION("""COMPUTED_VALUE"""),2023)</f>
        <v>2023</v>
      </c>
      <c r="Q616" s="2" t="str">
        <f ca="1">IFERROR(__xludf.DUMMYFUNCTION("""COMPUTED_VALUE"""),"0682")</f>
        <v>0682</v>
      </c>
      <c r="R616" s="2" t="str">
        <f ca="1">IFERROR(__xludf.DUMMYFUNCTION("""COMPUTED_VALUE"""),"14.001.0028.0846.0000.0002.33.90.47")</f>
        <v>14.001.0028.0846.0000.0002.33.90.47</v>
      </c>
      <c r="S616" s="2" t="str">
        <f ca="1">IFERROR(__xludf.DUMMYFUNCTION("""COMPUTED_VALUE"""),"00504")</f>
        <v>00504</v>
      </c>
      <c r="T616" s="2">
        <f ca="1">IFERROR(__xludf.DUMMYFUNCTION("""COMPUTED_VALUE"""),2024)</f>
        <v>2024</v>
      </c>
      <c r="U616" s="2" t="str">
        <f ca="1">IFERROR(__xludf.DUMMYFUNCTION("""COMPUTED_VALUE"""),"0825")</f>
        <v>0825</v>
      </c>
      <c r="V616" s="2" t="str">
        <f ca="1">IFERROR(__xludf.DUMMYFUNCTION("""COMPUTED_VALUE"""),"16.003.0015.0451.0122.1036.33.90.39")</f>
        <v>16.003.0015.0451.0122.1036.33.90.39</v>
      </c>
      <c r="W616" s="2" t="str">
        <f ca="1">IFERROR(__xludf.DUMMYFUNCTION("""COMPUTED_VALUE"""),"0")</f>
        <v>0</v>
      </c>
      <c r="X616" s="2"/>
      <c r="Y616" s="2"/>
      <c r="Z616" s="2"/>
      <c r="AA616" s="2"/>
      <c r="AB616" s="2"/>
      <c r="AC616" s="2"/>
      <c r="AD616" s="2"/>
      <c r="AE616" s="2"/>
      <c r="AF616" s="2"/>
    </row>
    <row r="617" spans="1:32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>
        <f ca="1">IFERROR(__xludf.DUMMYFUNCTION("""COMPUTED_VALUE"""),2023)</f>
        <v>2023</v>
      </c>
      <c r="Q617" s="2" t="str">
        <f ca="1">IFERROR(__xludf.DUMMYFUNCTION("""COMPUTED_VALUE"""),"0683")</f>
        <v>0683</v>
      </c>
      <c r="R617" s="2" t="str">
        <f ca="1">IFERROR(__xludf.DUMMYFUNCTION("""COMPUTED_VALUE"""),"14.001.0028.0846.0000.0002.33.90.47")</f>
        <v>14.001.0028.0846.0000.0002.33.90.47</v>
      </c>
      <c r="S617" s="2" t="str">
        <f ca="1">IFERROR(__xludf.DUMMYFUNCTION("""COMPUTED_VALUE"""),"00509")</f>
        <v>00509</v>
      </c>
      <c r="T617" s="2">
        <f ca="1">IFERROR(__xludf.DUMMYFUNCTION("""COMPUTED_VALUE"""),2024)</f>
        <v>2024</v>
      </c>
      <c r="U617" s="2" t="str">
        <f ca="1">IFERROR(__xludf.DUMMYFUNCTION("""COMPUTED_VALUE"""),"0829")</f>
        <v>0829</v>
      </c>
      <c r="V617" s="2" t="str">
        <f ca="1">IFERROR(__xludf.DUMMYFUNCTION("""COMPUTED_VALUE"""),"16.003.0015.0451.0122.2084.33.90.39")</f>
        <v>16.003.0015.0451.0122.2084.33.90.39</v>
      </c>
      <c r="W617" s="2" t="str">
        <f ca="1">IFERROR(__xludf.DUMMYFUNCTION("""COMPUTED_VALUE"""),"0")</f>
        <v>0</v>
      </c>
      <c r="X617" s="2"/>
      <c r="Y617" s="2"/>
      <c r="Z617" s="2"/>
      <c r="AA617" s="2"/>
      <c r="AB617" s="2"/>
      <c r="AC617" s="2"/>
      <c r="AD617" s="2"/>
      <c r="AE617" s="2"/>
      <c r="AF617" s="2"/>
    </row>
    <row r="618" spans="1:32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>
        <f ca="1">IFERROR(__xludf.DUMMYFUNCTION("""COMPUTED_VALUE"""),2023)</f>
        <v>2023</v>
      </c>
      <c r="Q618" s="2" t="str">
        <f ca="1">IFERROR(__xludf.DUMMYFUNCTION("""COMPUTED_VALUE"""),"0684")</f>
        <v>0684</v>
      </c>
      <c r="R618" s="2" t="str">
        <f ca="1">IFERROR(__xludf.DUMMYFUNCTION("""COMPUTED_VALUE"""),"14.001.0028.0846.0000.0002.33.90.47")</f>
        <v>14.001.0028.0846.0000.0002.33.90.47</v>
      </c>
      <c r="S618" s="2" t="str">
        <f ca="1">IFERROR(__xludf.DUMMYFUNCTION("""COMPUTED_VALUE"""),"00512")</f>
        <v>00512</v>
      </c>
      <c r="T618" s="2">
        <f ca="1">IFERROR(__xludf.DUMMYFUNCTION("""COMPUTED_VALUE"""),2024)</f>
        <v>2024</v>
      </c>
      <c r="U618" s="2" t="str">
        <f ca="1">IFERROR(__xludf.DUMMYFUNCTION("""COMPUTED_VALUE"""),"0834")</f>
        <v>0834</v>
      </c>
      <c r="V618" s="2" t="str">
        <f ca="1">IFERROR(__xludf.DUMMYFUNCTION("""COMPUTED_VALUE"""),"16.005.0016.0482.0122.1078.44.90.51")</f>
        <v>16.005.0016.0482.0122.1078.44.90.51</v>
      </c>
      <c r="W618" s="2" t="str">
        <f ca="1">IFERROR(__xludf.DUMMYFUNCTION("""COMPUTED_VALUE"""),"0")</f>
        <v>0</v>
      </c>
      <c r="X618" s="2"/>
      <c r="Y618" s="2"/>
      <c r="Z618" s="2"/>
      <c r="AA618" s="2"/>
      <c r="AB618" s="2"/>
      <c r="AC618" s="2"/>
      <c r="AD618" s="2"/>
      <c r="AE618" s="2"/>
      <c r="AF618" s="2"/>
    </row>
    <row r="619" spans="1:32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>
        <f ca="1">IFERROR(__xludf.DUMMYFUNCTION("""COMPUTED_VALUE"""),2023)</f>
        <v>2023</v>
      </c>
      <c r="Q619" s="2" t="str">
        <f ca="1">IFERROR(__xludf.DUMMYFUNCTION("""COMPUTED_VALUE"""),"0685")</f>
        <v>0685</v>
      </c>
      <c r="R619" s="2" t="str">
        <f ca="1">IFERROR(__xludf.DUMMYFUNCTION("""COMPUTED_VALUE"""),"07.003.0015.0452.0107.2133.33.90.47")</f>
        <v>07.003.0015.0452.0107.2133.33.90.47</v>
      </c>
      <c r="S619" s="2" t="str">
        <f ca="1">IFERROR(__xludf.DUMMYFUNCTION("""COMPUTED_VALUE"""),"0000")</f>
        <v>0000</v>
      </c>
      <c r="T619" s="2">
        <f ca="1">IFERROR(__xludf.DUMMYFUNCTION("""COMPUTED_VALUE"""),2024)</f>
        <v>2024</v>
      </c>
      <c r="U619" s="2" t="str">
        <f ca="1">IFERROR(__xludf.DUMMYFUNCTION("""COMPUTED_VALUE"""),"0838")</f>
        <v>0838</v>
      </c>
      <c r="V619" s="2" t="str">
        <f ca="1">IFERROR(__xludf.DUMMYFUNCTION("""COMPUTED_VALUE"""),"17.001.0009.0122.0171.0011.31.90.91")</f>
        <v>17.001.0009.0122.0171.0011.31.90.91</v>
      </c>
      <c r="W619" s="2" t="str">
        <f ca="1">IFERROR(__xludf.DUMMYFUNCTION("""COMPUTED_VALUE"""),"37")</f>
        <v>37</v>
      </c>
      <c r="X619" s="2"/>
      <c r="Y619" s="2"/>
      <c r="Z619" s="2"/>
      <c r="AA619" s="2"/>
      <c r="AB619" s="2"/>
      <c r="AC619" s="2"/>
      <c r="AD619" s="2"/>
      <c r="AE619" s="2"/>
      <c r="AF619" s="2"/>
    </row>
    <row r="620" spans="1:32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>
        <f ca="1">IFERROR(__xludf.DUMMYFUNCTION("""COMPUTED_VALUE"""),2023)</f>
        <v>2023</v>
      </c>
      <c r="Q620" s="2" t="str">
        <f ca="1">IFERROR(__xludf.DUMMYFUNCTION("""COMPUTED_VALUE"""),"0686")</f>
        <v>0686</v>
      </c>
      <c r="R620" s="2" t="str">
        <f ca="1">IFERROR(__xludf.DUMMYFUNCTION("""COMPUTED_VALUE"""),"07.003.0015.0452.0107.2133.33.90.47")</f>
        <v>07.003.0015.0452.0107.2133.33.90.47</v>
      </c>
      <c r="S620" s="2" t="str">
        <f ca="1">IFERROR(__xludf.DUMMYFUNCTION("""COMPUTED_VALUE"""),"00507")</f>
        <v>00507</v>
      </c>
      <c r="T620" s="2">
        <f ca="1">IFERROR(__xludf.DUMMYFUNCTION("""COMPUTED_VALUE"""),2024)</f>
        <v>2024</v>
      </c>
      <c r="U620" s="2" t="str">
        <f ca="1">IFERROR(__xludf.DUMMYFUNCTION("""COMPUTED_VALUE"""),"1071")</f>
        <v>1071</v>
      </c>
      <c r="V620" s="2" t="str">
        <f ca="1">IFERROR(__xludf.DUMMYFUNCTION("""COMPUTED_VALUE"""),"17.001.0009.0122.0171.0011.33.90.47")</f>
        <v>17.001.0009.0122.0171.0011.33.90.47</v>
      </c>
      <c r="W620" s="2" t="str">
        <f ca="1">IFERROR(__xludf.DUMMYFUNCTION("""COMPUTED_VALUE"""),"40")</f>
        <v>40</v>
      </c>
      <c r="X620" s="2"/>
      <c r="Y620" s="2"/>
      <c r="Z620" s="2"/>
      <c r="AA620" s="2"/>
      <c r="AB620" s="2"/>
      <c r="AC620" s="2"/>
      <c r="AD620" s="2"/>
      <c r="AE620" s="2"/>
      <c r="AF620" s="2"/>
    </row>
    <row r="621" spans="1:32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>
        <f ca="1">IFERROR(__xludf.DUMMYFUNCTION("""COMPUTED_VALUE"""),2023)</f>
        <v>2023</v>
      </c>
      <c r="Q621" s="2" t="str">
        <f ca="1">IFERROR(__xludf.DUMMYFUNCTION("""COMPUTED_VALUE"""),"0687")</f>
        <v>0687</v>
      </c>
      <c r="R621" s="2" t="str">
        <f ca="1">IFERROR(__xludf.DUMMYFUNCTION("""COMPUTED_VALUE"""),"16.001.0015.0451.0122.2085.33.90.47")</f>
        <v>16.001.0015.0451.0122.2085.33.90.47</v>
      </c>
      <c r="S621" s="2" t="str">
        <f ca="1">IFERROR(__xludf.DUMMYFUNCTION("""COMPUTED_VALUE"""),"0000")</f>
        <v>0000</v>
      </c>
      <c r="T621" s="2">
        <f ca="1">IFERROR(__xludf.DUMMYFUNCTION("""COMPUTED_VALUE"""),2024)</f>
        <v>2024</v>
      </c>
      <c r="U621" s="2" t="str">
        <f ca="1">IFERROR(__xludf.DUMMYFUNCTION("""COMPUTED_VALUE"""),"1072")</f>
        <v>1072</v>
      </c>
      <c r="V621" s="2" t="str">
        <f ca="1">IFERROR(__xludf.DUMMYFUNCTION("""COMPUTED_VALUE"""),"17.001.0009.0122.0171.0011.33.90.47")</f>
        <v>17.001.0009.0122.0171.0011.33.90.47</v>
      </c>
      <c r="W621" s="2" t="str">
        <f ca="1">IFERROR(__xludf.DUMMYFUNCTION("""COMPUTED_VALUE"""),"40")</f>
        <v>40</v>
      </c>
      <c r="X621" s="2"/>
      <c r="Y621" s="2"/>
      <c r="Z621" s="2"/>
      <c r="AA621" s="2"/>
      <c r="AB621" s="2"/>
      <c r="AC621" s="2"/>
      <c r="AD621" s="2"/>
      <c r="AE621" s="2"/>
      <c r="AF621" s="2"/>
    </row>
    <row r="622" spans="1:3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>
        <f ca="1">IFERROR(__xludf.DUMMYFUNCTION("""COMPUTED_VALUE"""),2023)</f>
        <v>2023</v>
      </c>
      <c r="Q622" s="2" t="str">
        <f ca="1">IFERROR(__xludf.DUMMYFUNCTION("""COMPUTED_VALUE"""),"0688")</f>
        <v>0688</v>
      </c>
      <c r="R622" s="2" t="str">
        <f ca="1">IFERROR(__xludf.DUMMYFUNCTION("""COMPUTED_VALUE"""),"16.001.0015.0451.0122.2085.33.90.47")</f>
        <v>16.001.0015.0451.0122.2085.33.90.47</v>
      </c>
      <c r="S622" s="2" t="str">
        <f ca="1">IFERROR(__xludf.DUMMYFUNCTION("""COMPUTED_VALUE"""),"05104")</f>
        <v>05104</v>
      </c>
      <c r="T622" s="2">
        <f ca="1">IFERROR(__xludf.DUMMYFUNCTION("""COMPUTED_VALUE"""),2024)</f>
        <v>2024</v>
      </c>
      <c r="U622" s="2" t="str">
        <f ca="1">IFERROR(__xludf.DUMMYFUNCTION("""COMPUTED_VALUE"""),"1076")</f>
        <v>1076</v>
      </c>
      <c r="V622" s="2" t="str">
        <f ca="1">IFERROR(__xludf.DUMMYFUNCTION("""COMPUTED_VALUE"""),"17.001.0009.0122.0171.0011.33.90.47")</f>
        <v>17.001.0009.0122.0171.0011.33.90.47</v>
      </c>
      <c r="W622" s="2" t="str">
        <f ca="1">IFERROR(__xludf.DUMMYFUNCTION("""COMPUTED_VALUE"""),"100")</f>
        <v>100</v>
      </c>
      <c r="X622" s="2"/>
      <c r="Y622" s="2"/>
      <c r="Z622" s="2"/>
      <c r="AA622" s="2"/>
      <c r="AB622" s="2"/>
      <c r="AC622" s="2"/>
      <c r="AD622" s="2"/>
      <c r="AE622" s="2"/>
      <c r="AF622" s="2"/>
    </row>
    <row r="623" spans="1:32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>
        <f ca="1">IFERROR(__xludf.DUMMYFUNCTION("""COMPUTED_VALUE"""),2023)</f>
        <v>2023</v>
      </c>
      <c r="Q623" s="2" t="str">
        <f ca="1">IFERROR(__xludf.DUMMYFUNCTION("""COMPUTED_VALUE"""),"0689")</f>
        <v>0689</v>
      </c>
      <c r="R623" s="2" t="str">
        <f ca="1">IFERROR(__xludf.DUMMYFUNCTION("""COMPUTED_VALUE"""),"10.001.0004.0122.0123.2109.33.90.47")</f>
        <v>10.001.0004.0122.0123.2109.33.90.47</v>
      </c>
      <c r="S623" s="2" t="str">
        <f ca="1">IFERROR(__xludf.DUMMYFUNCTION("""COMPUTED_VALUE"""),"0000")</f>
        <v>0000</v>
      </c>
      <c r="T623" s="2">
        <f ca="1">IFERROR(__xludf.DUMMYFUNCTION("""COMPUTED_VALUE"""),2024)</f>
        <v>2024</v>
      </c>
      <c r="U623" s="2" t="str">
        <f ca="1">IFERROR(__xludf.DUMMYFUNCTION("""COMPUTED_VALUE"""),"1078")</f>
        <v>1078</v>
      </c>
      <c r="V623" s="2" t="str">
        <f ca="1">IFERROR(__xludf.DUMMYFUNCTION("""COMPUTED_VALUE"""),"17.001.0009.0122.0171.0011.33.90.91")</f>
        <v>17.001.0009.0122.0171.0011.33.90.91</v>
      </c>
      <c r="W623" s="2" t="str">
        <f ca="1">IFERROR(__xludf.DUMMYFUNCTION("""COMPUTED_VALUE"""),"551")</f>
        <v>551</v>
      </c>
      <c r="X623" s="2"/>
      <c r="Y623" s="2"/>
      <c r="Z623" s="2"/>
      <c r="AA623" s="2"/>
      <c r="AB623" s="2"/>
      <c r="AC623" s="2"/>
      <c r="AD623" s="2"/>
      <c r="AE623" s="2"/>
      <c r="AF623" s="2"/>
    </row>
    <row r="624" spans="1:32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>
        <f ca="1">IFERROR(__xludf.DUMMYFUNCTION("""COMPUTED_VALUE"""),2023)</f>
        <v>2023</v>
      </c>
      <c r="Q624" s="2" t="str">
        <f ca="1">IFERROR(__xludf.DUMMYFUNCTION("""COMPUTED_VALUE"""),"0690")</f>
        <v>0690</v>
      </c>
      <c r="R624" s="2" t="str">
        <f ca="1">IFERROR(__xludf.DUMMYFUNCTION("""COMPUTED_VALUE"""),"11.007.0013.0392.0082.2017.33.90.48")</f>
        <v>11.007.0013.0392.0082.2017.33.90.48</v>
      </c>
      <c r="S624" s="2" t="str">
        <f ca="1">IFERROR(__xludf.DUMMYFUNCTION("""COMPUTED_VALUE"""),"00032")</f>
        <v>00032</v>
      </c>
      <c r="T624" s="2">
        <f ca="1">IFERROR(__xludf.DUMMYFUNCTION("""COMPUTED_VALUE"""),2024)</f>
        <v>2024</v>
      </c>
      <c r="U624" s="2" t="str">
        <f ca="1">IFERROR(__xludf.DUMMYFUNCTION("""COMPUTED_VALUE"""),"1073")</f>
        <v>1073</v>
      </c>
      <c r="V624" s="2" t="str">
        <f ca="1">IFERROR(__xludf.DUMMYFUNCTION("""COMPUTED_VALUE"""),"17.001.0009.0122.0171.0011.33.90.93")</f>
        <v>17.001.0009.0122.0171.0011.33.90.93</v>
      </c>
      <c r="W624" s="2" t="str">
        <f ca="1">IFERROR(__xludf.DUMMYFUNCTION("""COMPUTED_VALUE"""),"40")</f>
        <v>40</v>
      </c>
      <c r="X624" s="2"/>
      <c r="Y624" s="2"/>
      <c r="Z624" s="2"/>
      <c r="AA624" s="2"/>
      <c r="AB624" s="2"/>
      <c r="AC624" s="2"/>
      <c r="AD624" s="2"/>
      <c r="AE624" s="2"/>
      <c r="AF624" s="2"/>
    </row>
    <row r="625" spans="1:32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>
        <f ca="1">IFERROR(__xludf.DUMMYFUNCTION("""COMPUTED_VALUE"""),2023)</f>
        <v>2023</v>
      </c>
      <c r="Q625" s="2" t="str">
        <f ca="1">IFERROR(__xludf.DUMMYFUNCTION("""COMPUTED_VALUE"""),"0691")</f>
        <v>0691</v>
      </c>
      <c r="R625" s="2" t="str">
        <f ca="1">IFERROR(__xludf.DUMMYFUNCTION("""COMPUTED_VALUE"""),"11.003.0027.0812.0083.2016.33.90.48")</f>
        <v>11.003.0027.0812.0083.2016.33.90.48</v>
      </c>
      <c r="S625" s="2" t="str">
        <f ca="1">IFERROR(__xludf.DUMMYFUNCTION("""COMPUTED_VALUE"""),"00038")</f>
        <v>00038</v>
      </c>
      <c r="T625" s="2">
        <f ca="1">IFERROR(__xludf.DUMMYFUNCTION("""COMPUTED_VALUE"""),2024)</f>
        <v>2024</v>
      </c>
      <c r="U625" s="2" t="str">
        <f ca="1">IFERROR(__xludf.DUMMYFUNCTION("""COMPUTED_VALUE"""),"1074")</f>
        <v>1074</v>
      </c>
      <c r="V625" s="2" t="str">
        <f ca="1">IFERROR(__xludf.DUMMYFUNCTION("""COMPUTED_VALUE"""),"17.001.0009.0122.0171.0011.33.90.93")</f>
        <v>17.001.0009.0122.0171.0011.33.90.93</v>
      </c>
      <c r="W625" s="2" t="str">
        <f ca="1">IFERROR(__xludf.DUMMYFUNCTION("""COMPUTED_VALUE"""),"40")</f>
        <v>40</v>
      </c>
      <c r="X625" s="2"/>
      <c r="Y625" s="2"/>
      <c r="Z625" s="2"/>
      <c r="AA625" s="2"/>
      <c r="AB625" s="2"/>
      <c r="AC625" s="2"/>
      <c r="AD625" s="2"/>
      <c r="AE625" s="2"/>
      <c r="AF625" s="2"/>
    </row>
    <row r="626" spans="1:32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>
        <f ca="1">IFERROR(__xludf.DUMMYFUNCTION("""COMPUTED_VALUE"""),2023)</f>
        <v>2023</v>
      </c>
      <c r="Q626" s="2" t="str">
        <f ca="1">IFERROR(__xludf.DUMMYFUNCTION("""COMPUTED_VALUE"""),"0692")</f>
        <v>0692</v>
      </c>
      <c r="R626" s="2" t="str">
        <f ca="1">IFERROR(__xludf.DUMMYFUNCTION("""COMPUTED_VALUE"""),"08.003.0008.0244.0118.2030.33.90.48")</f>
        <v>08.003.0008.0244.0118.2030.33.90.48</v>
      </c>
      <c r="S626" s="2" t="str">
        <f ca="1">IFERROR(__xludf.DUMMYFUNCTION("""COMPUTED_VALUE"""),"0000")</f>
        <v>0000</v>
      </c>
      <c r="T626" s="2">
        <f ca="1">IFERROR(__xludf.DUMMYFUNCTION("""COMPUTED_VALUE"""),2024)</f>
        <v>2024</v>
      </c>
      <c r="U626" s="2" t="str">
        <f ca="1">IFERROR(__xludf.DUMMYFUNCTION("""COMPUTED_VALUE"""),"1077")</f>
        <v>1077</v>
      </c>
      <c r="V626" s="2" t="str">
        <f ca="1">IFERROR(__xludf.DUMMYFUNCTION("""COMPUTED_VALUE"""),"17.001.0009.0122.0171.0011.33.90.93")</f>
        <v>17.001.0009.0122.0171.0011.33.90.93</v>
      </c>
      <c r="W626" s="2" t="str">
        <f ca="1">IFERROR(__xludf.DUMMYFUNCTION("""COMPUTED_VALUE"""),"100")</f>
        <v>100</v>
      </c>
      <c r="X626" s="2"/>
      <c r="Y626" s="2"/>
      <c r="Z626" s="2"/>
      <c r="AA626" s="2"/>
      <c r="AB626" s="2"/>
      <c r="AC626" s="2"/>
      <c r="AD626" s="2"/>
      <c r="AE626" s="2"/>
      <c r="AF626" s="2"/>
    </row>
    <row r="627" spans="1:32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>
        <f ca="1">IFERROR(__xludf.DUMMYFUNCTION("""COMPUTED_VALUE"""),2023)</f>
        <v>2023</v>
      </c>
      <c r="Q627" s="2" t="str">
        <f ca="1">IFERROR(__xludf.DUMMYFUNCTION("""COMPUTED_VALUE"""),"0693")</f>
        <v>0693</v>
      </c>
      <c r="R627" s="2" t="str">
        <f ca="1">IFERROR(__xludf.DUMMYFUNCTION("""COMPUTED_VALUE"""),"08.003.0008.0244.0118.2032.33.90.48")</f>
        <v>08.003.0008.0244.0118.2032.33.90.48</v>
      </c>
      <c r="S627" s="2" t="str">
        <f ca="1">IFERROR(__xludf.DUMMYFUNCTION("""COMPUTED_VALUE"""),"0000")</f>
        <v>0000</v>
      </c>
      <c r="T627" s="2">
        <f ca="1">IFERROR(__xludf.DUMMYFUNCTION("""COMPUTED_VALUE"""),2024)</f>
        <v>2024</v>
      </c>
      <c r="U627" s="2" t="str">
        <f ca="1">IFERROR(__xludf.DUMMYFUNCTION("""COMPUTED_VALUE"""),"1079")</f>
        <v>1079</v>
      </c>
      <c r="V627" s="2" t="str">
        <f ca="1">IFERROR(__xludf.DUMMYFUNCTION("""COMPUTED_VALUE"""),"17.001.0009.0122.0171.0011.33.91.93")</f>
        <v>17.001.0009.0122.0171.0011.33.91.93</v>
      </c>
      <c r="W627" s="2" t="str">
        <f ca="1">IFERROR(__xludf.DUMMYFUNCTION("""COMPUTED_VALUE"""),"551")</f>
        <v>551</v>
      </c>
      <c r="X627" s="2"/>
      <c r="Y627" s="2"/>
      <c r="Z627" s="2"/>
      <c r="AA627" s="2"/>
      <c r="AB627" s="2"/>
      <c r="AC627" s="2"/>
      <c r="AD627" s="2"/>
      <c r="AE627" s="2"/>
      <c r="AF627" s="2"/>
    </row>
    <row r="628" spans="1:32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>
        <f ca="1">IFERROR(__xludf.DUMMYFUNCTION("""COMPUTED_VALUE"""),2023)</f>
        <v>2023</v>
      </c>
      <c r="Q628" s="2" t="str">
        <f ca="1">IFERROR(__xludf.DUMMYFUNCTION("""COMPUTED_VALUE"""),"0694")</f>
        <v>0694</v>
      </c>
      <c r="R628" s="2" t="str">
        <f ca="1">IFERROR(__xludf.DUMMYFUNCTION("""COMPUTED_VALUE"""),"08.005.0008.0243.0118.6001.33.90.48")</f>
        <v>08.005.0008.0243.0118.6001.33.90.48</v>
      </c>
      <c r="S628" s="2" t="str">
        <f ca="1">IFERROR(__xludf.DUMMYFUNCTION("""COMPUTED_VALUE"""),"0000")</f>
        <v>0000</v>
      </c>
      <c r="T628" s="2">
        <f ca="1">IFERROR(__xludf.DUMMYFUNCTION("""COMPUTED_VALUE"""),2024)</f>
        <v>2024</v>
      </c>
      <c r="U628" s="2" t="str">
        <f ca="1">IFERROR(__xludf.DUMMYFUNCTION("""COMPUTED_VALUE"""),"1075")</f>
        <v>1075</v>
      </c>
      <c r="V628" s="2" t="str">
        <f ca="1">IFERROR(__xludf.DUMMYFUNCTION("""COMPUTED_VALUE"""),"17.001.0009.0122.0171.2050.31.90.11")</f>
        <v>17.001.0009.0122.0171.2050.31.90.11</v>
      </c>
      <c r="W628" s="2" t="str">
        <f ca="1">IFERROR(__xludf.DUMMYFUNCTION("""COMPUTED_VALUE"""),"40")</f>
        <v>40</v>
      </c>
      <c r="X628" s="2"/>
      <c r="Y628" s="2"/>
      <c r="Z628" s="2"/>
      <c r="AA628" s="2"/>
      <c r="AB628" s="2"/>
      <c r="AC628" s="2"/>
      <c r="AD628" s="2"/>
      <c r="AE628" s="2"/>
      <c r="AF628" s="2"/>
    </row>
    <row r="629" spans="1:32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>
        <f ca="1">IFERROR(__xludf.DUMMYFUNCTION("""COMPUTED_VALUE"""),2023)</f>
        <v>2023</v>
      </c>
      <c r="Q629" s="2" t="str">
        <f ca="1">IFERROR(__xludf.DUMMYFUNCTION("""COMPUTED_VALUE"""),"0695")</f>
        <v>0695</v>
      </c>
      <c r="R629" s="2" t="str">
        <f ca="1">IFERROR(__xludf.DUMMYFUNCTION("""COMPUTED_VALUE"""),"14.001.0028.0061.0000.0009.33.90.91")</f>
        <v>14.001.0028.0061.0000.0009.33.90.91</v>
      </c>
      <c r="S629" s="2" t="str">
        <f ca="1">IFERROR(__xludf.DUMMYFUNCTION("""COMPUTED_VALUE"""),"0000")</f>
        <v>0000</v>
      </c>
      <c r="T629" s="2">
        <f ca="1">IFERROR(__xludf.DUMMYFUNCTION("""COMPUTED_VALUE"""),2024)</f>
        <v>2024</v>
      </c>
      <c r="U629" s="2" t="str">
        <f ca="1">IFERROR(__xludf.DUMMYFUNCTION("""COMPUTED_VALUE"""),"1083")</f>
        <v>1083</v>
      </c>
      <c r="V629" s="2" t="str">
        <f ca="1">IFERROR(__xludf.DUMMYFUNCTION("""COMPUTED_VALUE"""),"17.001.0009.0122.0171.2050.31.90.94")</f>
        <v>17.001.0009.0122.0171.2050.31.90.94</v>
      </c>
      <c r="W629" s="2" t="str">
        <f ca="1">IFERROR(__xludf.DUMMYFUNCTION("""COMPUTED_VALUE"""),"100")</f>
        <v>100</v>
      </c>
      <c r="X629" s="2"/>
      <c r="Y629" s="2"/>
      <c r="Z629" s="2"/>
      <c r="AA629" s="2"/>
      <c r="AB629" s="2"/>
      <c r="AC629" s="2"/>
      <c r="AD629" s="2"/>
      <c r="AE629" s="2"/>
      <c r="AF629" s="2"/>
    </row>
    <row r="630" spans="1:32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>
        <f ca="1">IFERROR(__xludf.DUMMYFUNCTION("""COMPUTED_VALUE"""),2023)</f>
        <v>2023</v>
      </c>
      <c r="Q630" s="2" t="str">
        <f ca="1">IFERROR(__xludf.DUMMYFUNCTION("""COMPUTED_VALUE"""),"0696")</f>
        <v>0696</v>
      </c>
      <c r="R630" s="2" t="str">
        <f ca="1">IFERROR(__xludf.DUMMYFUNCTION("""COMPUTED_VALUE"""),"04.002.0004.0122.0040.2005.33.90.91")</f>
        <v>04.002.0004.0122.0040.2005.33.90.91</v>
      </c>
      <c r="S630" s="2" t="str">
        <f ca="1">IFERROR(__xludf.DUMMYFUNCTION("""COMPUTED_VALUE"""),"0000")</f>
        <v>0000</v>
      </c>
      <c r="T630" s="2">
        <f ca="1">IFERROR(__xludf.DUMMYFUNCTION("""COMPUTED_VALUE"""),2024)</f>
        <v>2024</v>
      </c>
      <c r="U630" s="2" t="str">
        <f ca="1">IFERROR(__xludf.DUMMYFUNCTION("""COMPUTED_VALUE"""),"1084")</f>
        <v>1084</v>
      </c>
      <c r="V630" s="2" t="str">
        <f ca="1">IFERROR(__xludf.DUMMYFUNCTION("""COMPUTED_VALUE"""),"17.001.0009.0122.0171.2050.31.90.96")</f>
        <v>17.001.0009.0122.0171.2050.31.90.96</v>
      </c>
      <c r="W630" s="2" t="str">
        <f ca="1">IFERROR(__xludf.DUMMYFUNCTION("""COMPUTED_VALUE"""),"100")</f>
        <v>100</v>
      </c>
      <c r="X630" s="2"/>
      <c r="Y630" s="2"/>
      <c r="Z630" s="2"/>
      <c r="AA630" s="2"/>
      <c r="AB630" s="2"/>
      <c r="AC630" s="2"/>
      <c r="AD630" s="2"/>
      <c r="AE630" s="2"/>
      <c r="AF630" s="2"/>
    </row>
    <row r="631" spans="1:32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>
        <f ca="1">IFERROR(__xludf.DUMMYFUNCTION("""COMPUTED_VALUE"""),2023)</f>
        <v>2023</v>
      </c>
      <c r="Q631" s="2" t="str">
        <f ca="1">IFERROR(__xludf.DUMMYFUNCTION("""COMPUTED_VALUE"""),"0697")</f>
        <v>0697</v>
      </c>
      <c r="R631" s="2" t="str">
        <f ca="1">IFERROR(__xludf.DUMMYFUNCTION("""COMPUTED_VALUE"""),"06.001.0010.0301.0094.2037.33.90.92")</f>
        <v>06.001.0010.0301.0094.2037.33.90.92</v>
      </c>
      <c r="S631" s="2" t="str">
        <f ca="1">IFERROR(__xludf.DUMMYFUNCTION("""COMPUTED_VALUE"""),"00303")</f>
        <v>00303</v>
      </c>
      <c r="T631" s="2">
        <f ca="1">IFERROR(__xludf.DUMMYFUNCTION("""COMPUTED_VALUE"""),2024)</f>
        <v>2024</v>
      </c>
      <c r="U631" s="2" t="str">
        <f ca="1">IFERROR(__xludf.DUMMYFUNCTION("""COMPUTED_VALUE"""),"1085")</f>
        <v>1085</v>
      </c>
      <c r="V631" s="2" t="str">
        <f ca="1">IFERROR(__xludf.DUMMYFUNCTION("""COMPUTED_VALUE"""),"17.001.0009.0122.0171.2050.31.91.13")</f>
        <v>17.001.0009.0122.0171.2050.31.91.13</v>
      </c>
      <c r="W631" s="2" t="str">
        <f ca="1">IFERROR(__xludf.DUMMYFUNCTION("""COMPUTED_VALUE"""),"100")</f>
        <v>100</v>
      </c>
      <c r="X631" s="2"/>
      <c r="Y631" s="2"/>
      <c r="Z631" s="2"/>
      <c r="AA631" s="2"/>
      <c r="AB631" s="2"/>
      <c r="AC631" s="2"/>
      <c r="AD631" s="2"/>
      <c r="AE631" s="2"/>
      <c r="AF631" s="2"/>
    </row>
    <row r="632" spans="1: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>
        <f ca="1">IFERROR(__xludf.DUMMYFUNCTION("""COMPUTED_VALUE"""),2023)</f>
        <v>2023</v>
      </c>
      <c r="Q632" s="2" t="str">
        <f ca="1">IFERROR(__xludf.DUMMYFUNCTION("""COMPUTED_VALUE"""),"0698")</f>
        <v>0698</v>
      </c>
      <c r="R632" s="2" t="str">
        <f ca="1">IFERROR(__xludf.DUMMYFUNCTION("""COMPUTED_VALUE"""),"14.001.0028.0846.0000.0003.33.90.93")</f>
        <v>14.001.0028.0846.0000.0003.33.90.93</v>
      </c>
      <c r="S632" s="2" t="str">
        <f ca="1">IFERROR(__xludf.DUMMYFUNCTION("""COMPUTED_VALUE"""),"0000")</f>
        <v>0000</v>
      </c>
      <c r="T632" s="2">
        <f ca="1">IFERROR(__xludf.DUMMYFUNCTION("""COMPUTED_VALUE"""),2024)</f>
        <v>2024</v>
      </c>
      <c r="U632" s="2" t="str">
        <f ca="1">IFERROR(__xludf.DUMMYFUNCTION("""COMPUTED_VALUE"""),"1086")</f>
        <v>1086</v>
      </c>
      <c r="V632" s="2" t="str">
        <f ca="1">IFERROR(__xludf.DUMMYFUNCTION("""COMPUTED_VALUE"""),"17.001.0009.0122.0171.2050.33.90.14")</f>
        <v>17.001.0009.0122.0171.2050.33.90.14</v>
      </c>
      <c r="W632" s="2" t="str">
        <f ca="1">IFERROR(__xludf.DUMMYFUNCTION("""COMPUTED_VALUE"""),"100")</f>
        <v>100</v>
      </c>
      <c r="X632" s="2"/>
      <c r="Y632" s="2"/>
      <c r="Z632" s="2"/>
      <c r="AA632" s="2"/>
      <c r="AB632" s="2"/>
      <c r="AC632" s="2"/>
      <c r="AD632" s="2"/>
      <c r="AE632" s="2"/>
      <c r="AF632" s="2"/>
    </row>
    <row r="633" spans="1:32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>
        <f ca="1">IFERROR(__xludf.DUMMYFUNCTION("""COMPUTED_VALUE"""),2023)</f>
        <v>2023</v>
      </c>
      <c r="Q633" s="2" t="str">
        <f ca="1">IFERROR(__xludf.DUMMYFUNCTION("""COMPUTED_VALUE"""),"0699")</f>
        <v>0699</v>
      </c>
      <c r="R633" s="2" t="str">
        <f ca="1">IFERROR(__xludf.DUMMYFUNCTION("""COMPUTED_VALUE"""),"14.001.0028.0846.0000.0012.33.90.93")</f>
        <v>14.001.0028.0846.0000.0012.33.90.93</v>
      </c>
      <c r="S633" s="2" t="str">
        <f ca="1">IFERROR(__xludf.DUMMYFUNCTION("""COMPUTED_VALUE"""),"0000")</f>
        <v>0000</v>
      </c>
      <c r="T633" s="2">
        <f ca="1">IFERROR(__xludf.DUMMYFUNCTION("""COMPUTED_VALUE"""),2024)</f>
        <v>2024</v>
      </c>
      <c r="U633" s="2" t="str">
        <f ca="1">IFERROR(__xludf.DUMMYFUNCTION("""COMPUTED_VALUE"""),"1087")</f>
        <v>1087</v>
      </c>
      <c r="V633" s="2" t="str">
        <f ca="1">IFERROR(__xludf.DUMMYFUNCTION("""COMPUTED_VALUE"""),"17.001.0009.0122.0171.2050.33.90.30")</f>
        <v>17.001.0009.0122.0171.2050.33.90.30</v>
      </c>
      <c r="W633" s="2" t="str">
        <f ca="1">IFERROR(__xludf.DUMMYFUNCTION("""COMPUTED_VALUE"""),"100")</f>
        <v>100</v>
      </c>
      <c r="X633" s="2"/>
      <c r="Y633" s="2"/>
      <c r="Z633" s="2"/>
      <c r="AA633" s="2"/>
      <c r="AB633" s="2"/>
      <c r="AC633" s="2"/>
      <c r="AD633" s="2"/>
      <c r="AE633" s="2"/>
      <c r="AF633" s="2"/>
    </row>
    <row r="634" spans="1:32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>
        <f ca="1">IFERROR(__xludf.DUMMYFUNCTION("""COMPUTED_VALUE"""),2023)</f>
        <v>2023</v>
      </c>
      <c r="Q634" s="2" t="str">
        <f ca="1">IFERROR(__xludf.DUMMYFUNCTION("""COMPUTED_VALUE"""),"0700")</f>
        <v>0700</v>
      </c>
      <c r="R634" s="2" t="str">
        <f ca="1">IFERROR(__xludf.DUMMYFUNCTION("""COMPUTED_VALUE"""),"05.003.0012.0361.0074.5003.33.90.93")</f>
        <v>05.003.0012.0361.0074.5003.33.90.93</v>
      </c>
      <c r="S634" s="2" t="str">
        <f ca="1">IFERROR(__xludf.DUMMYFUNCTION("""COMPUTED_VALUE"""),"0000")</f>
        <v>0000</v>
      </c>
      <c r="T634" s="2">
        <f ca="1">IFERROR(__xludf.DUMMYFUNCTION("""COMPUTED_VALUE"""),2024)</f>
        <v>2024</v>
      </c>
      <c r="U634" s="2" t="str">
        <f ca="1">IFERROR(__xludf.DUMMYFUNCTION("""COMPUTED_VALUE"""),"1088")</f>
        <v>1088</v>
      </c>
      <c r="V634" s="2" t="str">
        <f ca="1">IFERROR(__xludf.DUMMYFUNCTION("""COMPUTED_VALUE"""),"17.001.0009.0122.0171.2050.33.90.33")</f>
        <v>17.001.0009.0122.0171.2050.33.90.33</v>
      </c>
      <c r="W634" s="2" t="str">
        <f ca="1">IFERROR(__xludf.DUMMYFUNCTION("""COMPUTED_VALUE"""),"100")</f>
        <v>100</v>
      </c>
      <c r="X634" s="2"/>
      <c r="Y634" s="2"/>
      <c r="Z634" s="2"/>
      <c r="AA634" s="2"/>
      <c r="AB634" s="2"/>
      <c r="AC634" s="2"/>
      <c r="AD634" s="2"/>
      <c r="AE634" s="2"/>
      <c r="AF634" s="2"/>
    </row>
    <row r="635" spans="1:32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>
        <f ca="1">IFERROR(__xludf.DUMMYFUNCTION("""COMPUTED_VALUE"""),2023)</f>
        <v>2023</v>
      </c>
      <c r="Q635" s="2" t="str">
        <f ca="1">IFERROR(__xludf.DUMMYFUNCTION("""COMPUTED_VALUE"""),"0701")</f>
        <v>0701</v>
      </c>
      <c r="R635" s="2" t="str">
        <f ca="1">IFERROR(__xludf.DUMMYFUNCTION("""COMPUTED_VALUE"""),"05.003.0012.0361.0074.5003.33.90.93")</f>
        <v>05.003.0012.0361.0074.5003.33.90.93</v>
      </c>
      <c r="S635" s="2" t="str">
        <f ca="1">IFERROR(__xludf.DUMMYFUNCTION("""COMPUTED_VALUE"""),"00180")</f>
        <v>00180</v>
      </c>
      <c r="T635" s="2">
        <f ca="1">IFERROR(__xludf.DUMMYFUNCTION("""COMPUTED_VALUE"""),2024)</f>
        <v>2024</v>
      </c>
      <c r="U635" s="2" t="str">
        <f ca="1">IFERROR(__xludf.DUMMYFUNCTION("""COMPUTED_VALUE"""),"1089")</f>
        <v>1089</v>
      </c>
      <c r="V635" s="2" t="str">
        <f ca="1">IFERROR(__xludf.DUMMYFUNCTION("""COMPUTED_VALUE"""),"17.001.0009.0122.0171.2050.33.90.35")</f>
        <v>17.001.0009.0122.0171.2050.33.90.35</v>
      </c>
      <c r="W635" s="2" t="str">
        <f ca="1">IFERROR(__xludf.DUMMYFUNCTION("""COMPUTED_VALUE"""),"100")</f>
        <v>100</v>
      </c>
      <c r="X635" s="2"/>
      <c r="Y635" s="2"/>
      <c r="Z635" s="2"/>
      <c r="AA635" s="2"/>
      <c r="AB635" s="2"/>
      <c r="AC635" s="2"/>
      <c r="AD635" s="2"/>
      <c r="AE635" s="2"/>
      <c r="AF635" s="2"/>
    </row>
    <row r="636" spans="1:32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>
        <f ca="1">IFERROR(__xludf.DUMMYFUNCTION("""COMPUTED_VALUE"""),2023)</f>
        <v>2023</v>
      </c>
      <c r="Q636" s="2" t="str">
        <f ca="1">IFERROR(__xludf.DUMMYFUNCTION("""COMPUTED_VALUE"""),"0702")</f>
        <v>0702</v>
      </c>
      <c r="R636" s="2" t="str">
        <f ca="1">IFERROR(__xludf.DUMMYFUNCTION("""COMPUTED_VALUE"""),"05.001.0012.0361.0074.6018.33.90.93")</f>
        <v>05.001.0012.0361.0074.6018.33.90.93</v>
      </c>
      <c r="S636" s="2" t="str">
        <f ca="1">IFERROR(__xludf.DUMMYFUNCTION("""COMPUTED_VALUE"""),"0000")</f>
        <v>0000</v>
      </c>
      <c r="T636" s="2">
        <f ca="1">IFERROR(__xludf.DUMMYFUNCTION("""COMPUTED_VALUE"""),2024)</f>
        <v>2024</v>
      </c>
      <c r="U636" s="2" t="str">
        <f ca="1">IFERROR(__xludf.DUMMYFUNCTION("""COMPUTED_VALUE"""),"1090")</f>
        <v>1090</v>
      </c>
      <c r="V636" s="2" t="str">
        <f ca="1">IFERROR(__xludf.DUMMYFUNCTION("""COMPUTED_VALUE"""),"17.001.0009.0122.0171.2050.33.90.36")</f>
        <v>17.001.0009.0122.0171.2050.33.90.36</v>
      </c>
      <c r="W636" s="2" t="str">
        <f ca="1">IFERROR(__xludf.DUMMYFUNCTION("""COMPUTED_VALUE"""),"100")</f>
        <v>100</v>
      </c>
      <c r="X636" s="2"/>
      <c r="Y636" s="2"/>
      <c r="Z636" s="2"/>
      <c r="AA636" s="2"/>
      <c r="AB636" s="2"/>
      <c r="AC636" s="2"/>
      <c r="AD636" s="2"/>
      <c r="AE636" s="2"/>
      <c r="AF636" s="2"/>
    </row>
    <row r="637" spans="1:32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>
        <f ca="1">IFERROR(__xludf.DUMMYFUNCTION("""COMPUTED_VALUE"""),2023)</f>
        <v>2023</v>
      </c>
      <c r="Q637" s="2" t="str">
        <f ca="1">IFERROR(__xludf.DUMMYFUNCTION("""COMPUTED_VALUE"""),"0703")</f>
        <v>0703</v>
      </c>
      <c r="R637" s="2" t="str">
        <f ca="1">IFERROR(__xludf.DUMMYFUNCTION("""COMPUTED_VALUE"""),"05.001.0012.0361.0074.6018.33.90.93")</f>
        <v>05.001.0012.0361.0074.6018.33.90.93</v>
      </c>
      <c r="S637" s="2" t="str">
        <f ca="1">IFERROR(__xludf.DUMMYFUNCTION("""COMPUTED_VALUE"""),"00114")</f>
        <v>00114</v>
      </c>
      <c r="T637" s="2">
        <f ca="1">IFERROR(__xludf.DUMMYFUNCTION("""COMPUTED_VALUE"""),2024)</f>
        <v>2024</v>
      </c>
      <c r="U637" s="2" t="str">
        <f ca="1">IFERROR(__xludf.DUMMYFUNCTION("""COMPUTED_VALUE"""),"1091")</f>
        <v>1091</v>
      </c>
      <c r="V637" s="2" t="str">
        <f ca="1">IFERROR(__xludf.DUMMYFUNCTION("""COMPUTED_VALUE"""),"17.001.0009.0122.0171.2050.33.90.39")</f>
        <v>17.001.0009.0122.0171.2050.33.90.39</v>
      </c>
      <c r="W637" s="2" t="str">
        <f ca="1">IFERROR(__xludf.DUMMYFUNCTION("""COMPUTED_VALUE"""),"100")</f>
        <v>100</v>
      </c>
      <c r="X637" s="2"/>
      <c r="Y637" s="2"/>
      <c r="Z637" s="2"/>
      <c r="AA637" s="2"/>
      <c r="AB637" s="2"/>
      <c r="AC637" s="2"/>
      <c r="AD637" s="2"/>
      <c r="AE637" s="2"/>
      <c r="AF637" s="2"/>
    </row>
    <row r="638" spans="1:32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>
        <f ca="1">IFERROR(__xludf.DUMMYFUNCTION("""COMPUTED_VALUE"""),2023)</f>
        <v>2023</v>
      </c>
      <c r="Q638" s="2" t="str">
        <f ca="1">IFERROR(__xludf.DUMMYFUNCTION("""COMPUTED_VALUE"""),"0704")</f>
        <v>0704</v>
      </c>
      <c r="R638" s="2" t="str">
        <f ca="1">IFERROR(__xludf.DUMMYFUNCTION("""COMPUTED_VALUE"""),"05.001.0012.0361.0074.6018.33.90.93")</f>
        <v>05.001.0012.0361.0074.6018.33.90.93</v>
      </c>
      <c r="S638" s="2" t="str">
        <f ca="1">IFERROR(__xludf.DUMMYFUNCTION("""COMPUTED_VALUE"""),"01043")</f>
        <v>01043</v>
      </c>
      <c r="T638" s="2">
        <f ca="1">IFERROR(__xludf.DUMMYFUNCTION("""COMPUTED_VALUE"""),2024)</f>
        <v>2024</v>
      </c>
      <c r="U638" s="2" t="str">
        <f ca="1">IFERROR(__xludf.DUMMYFUNCTION("""COMPUTED_VALUE"""),"1092")</f>
        <v>1092</v>
      </c>
      <c r="V638" s="2" t="str">
        <f ca="1">IFERROR(__xludf.DUMMYFUNCTION("""COMPUTED_VALUE"""),"17.001.0009.0122.0171.2050.33.90.40")</f>
        <v>17.001.0009.0122.0171.2050.33.90.40</v>
      </c>
      <c r="W638" s="2" t="str">
        <f ca="1">IFERROR(__xludf.DUMMYFUNCTION("""COMPUTED_VALUE"""),"100")</f>
        <v>100</v>
      </c>
      <c r="X638" s="2"/>
      <c r="Y638" s="2"/>
      <c r="Z638" s="2"/>
      <c r="AA638" s="2"/>
      <c r="AB638" s="2"/>
      <c r="AC638" s="2"/>
      <c r="AD638" s="2"/>
      <c r="AE638" s="2"/>
      <c r="AF638" s="2"/>
    </row>
    <row r="639" spans="1:32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>
        <f ca="1">IFERROR(__xludf.DUMMYFUNCTION("""COMPUTED_VALUE"""),2023)</f>
        <v>2023</v>
      </c>
      <c r="Q639" s="2" t="str">
        <f ca="1">IFERROR(__xludf.DUMMYFUNCTION("""COMPUTED_VALUE"""),"0705")</f>
        <v>0705</v>
      </c>
      <c r="R639" s="2" t="str">
        <f ca="1">IFERROR(__xludf.DUMMYFUNCTION("""COMPUTED_VALUE"""),"11.007.0013.0392.0082.2141.33.90.93")</f>
        <v>11.007.0013.0392.0082.2141.33.90.93</v>
      </c>
      <c r="S639" s="2" t="str">
        <f ca="1">IFERROR(__xludf.DUMMYFUNCTION("""COMPUTED_VALUE"""),"0000")</f>
        <v>0000</v>
      </c>
      <c r="T639" s="2">
        <f ca="1">IFERROR(__xludf.DUMMYFUNCTION("""COMPUTED_VALUE"""),2024)</f>
        <v>2024</v>
      </c>
      <c r="U639" s="2" t="str">
        <f ca="1">IFERROR(__xludf.DUMMYFUNCTION("""COMPUTED_VALUE"""),"1093")</f>
        <v>1093</v>
      </c>
      <c r="V639" s="2" t="str">
        <f ca="1">IFERROR(__xludf.DUMMYFUNCTION("""COMPUTED_VALUE"""),"17.001.0009.0122.0171.2050.33.90.46")</f>
        <v>17.001.0009.0122.0171.2050.33.90.46</v>
      </c>
      <c r="W639" s="2" t="str">
        <f ca="1">IFERROR(__xludf.DUMMYFUNCTION("""COMPUTED_VALUE"""),"100")</f>
        <v>100</v>
      </c>
      <c r="X639" s="2"/>
      <c r="Y639" s="2"/>
      <c r="Z639" s="2"/>
      <c r="AA639" s="2"/>
      <c r="AB639" s="2"/>
      <c r="AC639" s="2"/>
      <c r="AD639" s="2"/>
      <c r="AE639" s="2"/>
      <c r="AF639" s="2"/>
    </row>
    <row r="640" spans="1:32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>
        <f ca="1">IFERROR(__xludf.DUMMYFUNCTION("""COMPUTED_VALUE"""),2023)</f>
        <v>2023</v>
      </c>
      <c r="Q640" s="2" t="str">
        <f ca="1">IFERROR(__xludf.DUMMYFUNCTION("""COMPUTED_VALUE"""),"0706")</f>
        <v>0706</v>
      </c>
      <c r="R640" s="2" t="str">
        <f ca="1">IFERROR(__xludf.DUMMYFUNCTION("""COMPUTED_VALUE"""),"11.007.0013.0392.0082.2141.33.90.93")</f>
        <v>11.007.0013.0392.0082.2141.33.90.93</v>
      </c>
      <c r="S640" s="2" t="str">
        <f ca="1">IFERROR(__xludf.DUMMYFUNCTION("""COMPUTED_VALUE"""),"01031")</f>
        <v>01031</v>
      </c>
      <c r="T640" s="2">
        <f ca="1">IFERROR(__xludf.DUMMYFUNCTION("""COMPUTED_VALUE"""),2024)</f>
        <v>2024</v>
      </c>
      <c r="U640" s="2" t="str">
        <f ca="1">IFERROR(__xludf.DUMMYFUNCTION("""COMPUTED_VALUE"""),"1094")</f>
        <v>1094</v>
      </c>
      <c r="V640" s="2" t="str">
        <f ca="1">IFERROR(__xludf.DUMMYFUNCTION("""COMPUTED_VALUE"""),"17.001.0009.0122.0171.2050.44.90.52")</f>
        <v>17.001.0009.0122.0171.2050.44.90.52</v>
      </c>
      <c r="W640" s="2" t="str">
        <f ca="1">IFERROR(__xludf.DUMMYFUNCTION("""COMPUTED_VALUE"""),"100")</f>
        <v>100</v>
      </c>
      <c r="X640" s="2"/>
      <c r="Y640" s="2"/>
      <c r="Z640" s="2"/>
      <c r="AA640" s="2"/>
      <c r="AB640" s="2"/>
      <c r="AC640" s="2"/>
      <c r="AD640" s="2"/>
      <c r="AE640" s="2"/>
      <c r="AF640" s="2"/>
    </row>
    <row r="641" spans="1:32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>
        <f ca="1">IFERROR(__xludf.DUMMYFUNCTION("""COMPUTED_VALUE"""),2023)</f>
        <v>2023</v>
      </c>
      <c r="Q641" s="2" t="str">
        <f ca="1">IFERROR(__xludf.DUMMYFUNCTION("""COMPUTED_VALUE"""),"0707")</f>
        <v>0707</v>
      </c>
      <c r="R641" s="2" t="str">
        <f ca="1">IFERROR(__xludf.DUMMYFUNCTION("""COMPUTED_VALUE"""),"06.001.0010.0301.0094.1023.33.90.93")</f>
        <v>06.001.0010.0301.0094.1023.33.90.93</v>
      </c>
      <c r="S641" s="2" t="str">
        <f ca="1">IFERROR(__xludf.DUMMYFUNCTION("""COMPUTED_VALUE"""),"00303")</f>
        <v>00303</v>
      </c>
      <c r="T641" s="2">
        <f ca="1">IFERROR(__xludf.DUMMYFUNCTION("""COMPUTED_VALUE"""),2024)</f>
        <v>2024</v>
      </c>
      <c r="U641" s="2" t="str">
        <f ca="1">IFERROR(__xludf.DUMMYFUNCTION("""COMPUTED_VALUE"""),"1095")</f>
        <v>1095</v>
      </c>
      <c r="V641" s="2" t="str">
        <f ca="1">IFERROR(__xludf.DUMMYFUNCTION("""COMPUTED_VALUE"""),"17.001.0009.0122.0171.2051.33.90.14")</f>
        <v>17.001.0009.0122.0171.2051.33.90.14</v>
      </c>
      <c r="W641" s="2" t="str">
        <f ca="1">IFERROR(__xludf.DUMMYFUNCTION("""COMPUTED_VALUE"""),"100")</f>
        <v>100</v>
      </c>
      <c r="X641" s="2"/>
      <c r="Y641" s="2"/>
      <c r="Z641" s="2"/>
      <c r="AA641" s="2"/>
      <c r="AB641" s="2"/>
      <c r="AC641" s="2"/>
      <c r="AD641" s="2"/>
      <c r="AE641" s="2"/>
      <c r="AF641" s="2"/>
    </row>
    <row r="642" spans="1:3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>
        <f ca="1">IFERROR(__xludf.DUMMYFUNCTION("""COMPUTED_VALUE"""),2023)</f>
        <v>2023</v>
      </c>
      <c r="Q642" s="2" t="str">
        <f ca="1">IFERROR(__xludf.DUMMYFUNCTION("""COMPUTED_VALUE"""),"0708")</f>
        <v>0708</v>
      </c>
      <c r="R642" s="2" t="str">
        <f ca="1">IFERROR(__xludf.DUMMYFUNCTION("""COMPUTED_VALUE"""),"06.001.0010.0301.0094.2039.33.90.93")</f>
        <v>06.001.0010.0301.0094.2039.33.90.93</v>
      </c>
      <c r="S642" s="2" t="str">
        <f ca="1">IFERROR(__xludf.DUMMYFUNCTION("""COMPUTED_VALUE"""),"00303")</f>
        <v>00303</v>
      </c>
      <c r="T642" s="2">
        <f ca="1">IFERROR(__xludf.DUMMYFUNCTION("""COMPUTED_VALUE"""),2024)</f>
        <v>2024</v>
      </c>
      <c r="U642" s="2" t="str">
        <f ca="1">IFERROR(__xludf.DUMMYFUNCTION("""COMPUTED_VALUE"""),"1096")</f>
        <v>1096</v>
      </c>
      <c r="V642" s="2" t="str">
        <f ca="1">IFERROR(__xludf.DUMMYFUNCTION("""COMPUTED_VALUE"""),"17.001.0009.0122.0171.2051.33.90.33")</f>
        <v>17.001.0009.0122.0171.2051.33.90.33</v>
      </c>
      <c r="W642" s="2" t="str">
        <f ca="1">IFERROR(__xludf.DUMMYFUNCTION("""COMPUTED_VALUE"""),"100")</f>
        <v>100</v>
      </c>
      <c r="X642" s="2"/>
      <c r="Y642" s="2"/>
      <c r="Z642" s="2"/>
      <c r="AA642" s="2"/>
      <c r="AB642" s="2"/>
      <c r="AC642" s="2"/>
      <c r="AD642" s="2"/>
      <c r="AE642" s="2"/>
      <c r="AF642" s="2"/>
    </row>
    <row r="643" spans="1:32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>
        <f ca="1">IFERROR(__xludf.DUMMYFUNCTION("""COMPUTED_VALUE"""),2023)</f>
        <v>2023</v>
      </c>
      <c r="Q643" s="2" t="str">
        <f ca="1">IFERROR(__xludf.DUMMYFUNCTION("""COMPUTED_VALUE"""),"0709")</f>
        <v>0709</v>
      </c>
      <c r="R643" s="2" t="str">
        <f ca="1">IFERROR(__xludf.DUMMYFUNCTION("""COMPUTED_VALUE"""),"12.005.0020.0605.0113.2124.33.90.93")</f>
        <v>12.005.0020.0605.0113.2124.33.90.93</v>
      </c>
      <c r="S643" s="2" t="str">
        <f ca="1">IFERROR(__xludf.DUMMYFUNCTION("""COMPUTED_VALUE"""),"0000")</f>
        <v>0000</v>
      </c>
      <c r="T643" s="2">
        <f ca="1">IFERROR(__xludf.DUMMYFUNCTION("""COMPUTED_VALUE"""),2024)</f>
        <v>2024</v>
      </c>
      <c r="U643" s="2" t="str">
        <f ca="1">IFERROR(__xludf.DUMMYFUNCTION("""COMPUTED_VALUE"""),"1097")</f>
        <v>1097</v>
      </c>
      <c r="V643" s="2" t="str">
        <f ca="1">IFERROR(__xludf.DUMMYFUNCTION("""COMPUTED_VALUE"""),"17.001.0009.0122.0171.2051.33.90.36")</f>
        <v>17.001.0009.0122.0171.2051.33.90.36</v>
      </c>
      <c r="W643" s="2" t="str">
        <f ca="1">IFERROR(__xludf.DUMMYFUNCTION("""COMPUTED_VALUE"""),"100")</f>
        <v>100</v>
      </c>
      <c r="X643" s="2"/>
      <c r="Y643" s="2"/>
      <c r="Z643" s="2"/>
      <c r="AA643" s="2"/>
      <c r="AB643" s="2"/>
      <c r="AC643" s="2"/>
      <c r="AD643" s="2"/>
      <c r="AE643" s="2"/>
      <c r="AF643" s="2"/>
    </row>
    <row r="644" spans="1:32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>
        <f ca="1">IFERROR(__xludf.DUMMYFUNCTION("""COMPUTED_VALUE"""),2023)</f>
        <v>2023</v>
      </c>
      <c r="Q644" s="2" t="str">
        <f ca="1">IFERROR(__xludf.DUMMYFUNCTION("""COMPUTED_VALUE"""),"0710")</f>
        <v>0710</v>
      </c>
      <c r="R644" s="2" t="str">
        <f ca="1">IFERROR(__xludf.DUMMYFUNCTION("""COMPUTED_VALUE"""),"08.003.0008.0244.0118.2030.33.90.93")</f>
        <v>08.003.0008.0244.0118.2030.33.90.93</v>
      </c>
      <c r="S644" s="2" t="str">
        <f ca="1">IFERROR(__xludf.DUMMYFUNCTION("""COMPUTED_VALUE"""),"0000")</f>
        <v>0000</v>
      </c>
      <c r="T644" s="2">
        <f ca="1">IFERROR(__xludf.DUMMYFUNCTION("""COMPUTED_VALUE"""),2024)</f>
        <v>2024</v>
      </c>
      <c r="U644" s="2" t="str">
        <f ca="1">IFERROR(__xludf.DUMMYFUNCTION("""COMPUTED_VALUE"""),"1098")</f>
        <v>1098</v>
      </c>
      <c r="V644" s="2" t="str">
        <f ca="1">IFERROR(__xludf.DUMMYFUNCTION("""COMPUTED_VALUE"""),"17.001.0009.0122.0171.2051.33.90.39")</f>
        <v>17.001.0009.0122.0171.2051.33.90.39</v>
      </c>
      <c r="W644" s="2" t="str">
        <f ca="1">IFERROR(__xludf.DUMMYFUNCTION("""COMPUTED_VALUE"""),"100")</f>
        <v>100</v>
      </c>
      <c r="X644" s="2"/>
      <c r="Y644" s="2"/>
      <c r="Z644" s="2"/>
      <c r="AA644" s="2"/>
      <c r="AB644" s="2"/>
      <c r="AC644" s="2"/>
      <c r="AD644" s="2"/>
      <c r="AE644" s="2"/>
      <c r="AF644" s="2"/>
    </row>
    <row r="645" spans="1:32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>
        <f ca="1">IFERROR(__xludf.DUMMYFUNCTION("""COMPUTED_VALUE"""),2023)</f>
        <v>2023</v>
      </c>
      <c r="Q645" s="2" t="str">
        <f ca="1">IFERROR(__xludf.DUMMYFUNCTION("""COMPUTED_VALUE"""),"0711")</f>
        <v>0711</v>
      </c>
      <c r="R645" s="2" t="str">
        <f ca="1">IFERROR(__xludf.DUMMYFUNCTION("""COMPUTED_VALUE"""),"08.005.0008.0243.0118.6001.33.90.93")</f>
        <v>08.005.0008.0243.0118.6001.33.90.93</v>
      </c>
      <c r="S645" s="2" t="str">
        <f ca="1">IFERROR(__xludf.DUMMYFUNCTION("""COMPUTED_VALUE"""),"0000")</f>
        <v>0000</v>
      </c>
      <c r="T645" s="2">
        <f ca="1">IFERROR(__xludf.DUMMYFUNCTION("""COMPUTED_VALUE"""),2024)</f>
        <v>2024</v>
      </c>
      <c r="U645" s="2" t="str">
        <f ca="1">IFERROR(__xludf.DUMMYFUNCTION("""COMPUTED_VALUE"""),"1099")</f>
        <v>1099</v>
      </c>
      <c r="V645" s="2" t="str">
        <f ca="1">IFERROR(__xludf.DUMMYFUNCTION("""COMPUTED_VALUE"""),"17.001.0009.0122.0171.2052.33.90.30")</f>
        <v>17.001.0009.0122.0171.2052.33.90.30</v>
      </c>
      <c r="W645" s="2" t="str">
        <f ca="1">IFERROR(__xludf.DUMMYFUNCTION("""COMPUTED_VALUE"""),"100")</f>
        <v>100</v>
      </c>
      <c r="X645" s="2"/>
      <c r="Y645" s="2"/>
      <c r="Z645" s="2"/>
      <c r="AA645" s="2"/>
      <c r="AB645" s="2"/>
      <c r="AC645" s="2"/>
      <c r="AD645" s="2"/>
      <c r="AE645" s="2"/>
      <c r="AF645" s="2"/>
    </row>
    <row r="646" spans="1:32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>
        <f ca="1">IFERROR(__xludf.DUMMYFUNCTION("""COMPUTED_VALUE"""),2023)</f>
        <v>2023</v>
      </c>
      <c r="Q646" s="2" t="str">
        <f ca="1">IFERROR(__xludf.DUMMYFUNCTION("""COMPUTED_VALUE"""),"0712")</f>
        <v>0712</v>
      </c>
      <c r="R646" s="2" t="str">
        <f ca="1">IFERROR(__xludf.DUMMYFUNCTION("""COMPUTED_VALUE"""),"14.001.0028.0846.0000.0004.33.91.97")</f>
        <v>14.001.0028.0846.0000.0004.33.91.97</v>
      </c>
      <c r="S646" s="2" t="str">
        <f ca="1">IFERROR(__xludf.DUMMYFUNCTION("""COMPUTED_VALUE"""),"0000")</f>
        <v>0000</v>
      </c>
      <c r="T646" s="2">
        <f ca="1">IFERROR(__xludf.DUMMYFUNCTION("""COMPUTED_VALUE"""),2024)</f>
        <v>2024</v>
      </c>
      <c r="U646" s="2" t="str">
        <f ca="1">IFERROR(__xludf.DUMMYFUNCTION("""COMPUTED_VALUE"""),"1100")</f>
        <v>1100</v>
      </c>
      <c r="V646" s="2" t="str">
        <f ca="1">IFERROR(__xludf.DUMMYFUNCTION("""COMPUTED_VALUE"""),"17.001.0009.0122.0171.2052.33.90.32")</f>
        <v>17.001.0009.0122.0171.2052.33.90.32</v>
      </c>
      <c r="W646" s="2" t="str">
        <f ca="1">IFERROR(__xludf.DUMMYFUNCTION("""COMPUTED_VALUE"""),"100")</f>
        <v>100</v>
      </c>
      <c r="X646" s="2"/>
      <c r="Y646" s="2"/>
      <c r="Z646" s="2"/>
      <c r="AA646" s="2"/>
      <c r="AB646" s="2"/>
      <c r="AC646" s="2"/>
      <c r="AD646" s="2"/>
      <c r="AE646" s="2"/>
      <c r="AF646" s="2"/>
    </row>
    <row r="647" spans="1:32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>
        <f ca="1">IFERROR(__xludf.DUMMYFUNCTION("""COMPUTED_VALUE"""),2023)</f>
        <v>2023</v>
      </c>
      <c r="Q647" s="2" t="str">
        <f ca="1">IFERROR(__xludf.DUMMYFUNCTION("""COMPUTED_VALUE"""),"0713")</f>
        <v>0713</v>
      </c>
      <c r="R647" s="2" t="str">
        <f ca="1">IFERROR(__xludf.DUMMYFUNCTION("""COMPUTED_VALUE"""),"05.001.0012.0367.0074.5007.44.50.42")</f>
        <v>05.001.0012.0367.0074.5007.44.50.42</v>
      </c>
      <c r="S647" s="2" t="str">
        <f ca="1">IFERROR(__xludf.DUMMYFUNCTION("""COMPUTED_VALUE"""),"00102")</f>
        <v>00102</v>
      </c>
      <c r="T647" s="2">
        <f ca="1">IFERROR(__xludf.DUMMYFUNCTION("""COMPUTED_VALUE"""),2024)</f>
        <v>2024</v>
      </c>
      <c r="U647" s="2" t="str">
        <f ca="1">IFERROR(__xludf.DUMMYFUNCTION("""COMPUTED_VALUE"""),"1101")</f>
        <v>1101</v>
      </c>
      <c r="V647" s="2" t="str">
        <f ca="1">IFERROR(__xludf.DUMMYFUNCTION("""COMPUTED_VALUE"""),"17.001.0009.0122.0171.2052.33.90.39")</f>
        <v>17.001.0009.0122.0171.2052.33.90.39</v>
      </c>
      <c r="W647" s="2" t="str">
        <f ca="1">IFERROR(__xludf.DUMMYFUNCTION("""COMPUTED_VALUE"""),"100")</f>
        <v>100</v>
      </c>
      <c r="X647" s="2"/>
      <c r="Y647" s="2"/>
      <c r="Z647" s="2"/>
      <c r="AA647" s="2"/>
      <c r="AB647" s="2"/>
      <c r="AC647" s="2"/>
      <c r="AD647" s="2"/>
      <c r="AE647" s="2"/>
      <c r="AF647" s="2"/>
    </row>
    <row r="648" spans="1:32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>
        <f ca="1">IFERROR(__xludf.DUMMYFUNCTION("""COMPUTED_VALUE"""),2023)</f>
        <v>2023</v>
      </c>
      <c r="Q648" s="2" t="str">
        <f ca="1">IFERROR(__xludf.DUMMYFUNCTION("""COMPUTED_VALUE"""),"0714")</f>
        <v>0714</v>
      </c>
      <c r="R648" s="2" t="str">
        <f ca="1">IFERROR(__xludf.DUMMYFUNCTION("""COMPUTED_VALUE"""),"05.001.0012.0365.0074.5008.44.50.42")</f>
        <v>05.001.0012.0365.0074.5008.44.50.42</v>
      </c>
      <c r="S648" s="2" t="str">
        <f ca="1">IFERROR(__xludf.DUMMYFUNCTION("""COMPUTED_VALUE"""),"00102")</f>
        <v>00102</v>
      </c>
      <c r="T648" s="2">
        <f ca="1">IFERROR(__xludf.DUMMYFUNCTION("""COMPUTED_VALUE"""),2024)</f>
        <v>2024</v>
      </c>
      <c r="U648" s="2" t="str">
        <f ca="1">IFERROR(__xludf.DUMMYFUNCTION("""COMPUTED_VALUE"""),"1102")</f>
        <v>1102</v>
      </c>
      <c r="V648" s="2" t="str">
        <f ca="1">IFERROR(__xludf.DUMMYFUNCTION("""COMPUTED_VALUE"""),"17.001.0009.0122.0171.2053.33.90.14")</f>
        <v>17.001.0009.0122.0171.2053.33.90.14</v>
      </c>
      <c r="W648" s="2" t="str">
        <f ca="1">IFERROR(__xludf.DUMMYFUNCTION("""COMPUTED_VALUE"""),"100")</f>
        <v>100</v>
      </c>
      <c r="X648" s="2"/>
      <c r="Y648" s="2"/>
      <c r="Z648" s="2"/>
      <c r="AA648" s="2"/>
      <c r="AB648" s="2"/>
      <c r="AC648" s="2"/>
      <c r="AD648" s="2"/>
      <c r="AE648" s="2"/>
      <c r="AF648" s="2"/>
    </row>
    <row r="649" spans="1:32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>
        <f ca="1">IFERROR(__xludf.DUMMYFUNCTION("""COMPUTED_VALUE"""),2023)</f>
        <v>2023</v>
      </c>
      <c r="Q649" s="2" t="str">
        <f ca="1">IFERROR(__xludf.DUMMYFUNCTION("""COMPUTED_VALUE"""),"0715")</f>
        <v>0715</v>
      </c>
      <c r="R649" s="2" t="str">
        <f ca="1">IFERROR(__xludf.DUMMYFUNCTION("""COMPUTED_VALUE"""),"08.003.0008.0244.0118.1013.44.50.42")</f>
        <v>08.003.0008.0244.0118.1013.44.50.42</v>
      </c>
      <c r="S649" s="2" t="str">
        <f ca="1">IFERROR(__xludf.DUMMYFUNCTION("""COMPUTED_VALUE"""),"0000")</f>
        <v>0000</v>
      </c>
      <c r="T649" s="2">
        <f ca="1">IFERROR(__xludf.DUMMYFUNCTION("""COMPUTED_VALUE"""),2024)</f>
        <v>2024</v>
      </c>
      <c r="U649" s="2" t="str">
        <f ca="1">IFERROR(__xludf.DUMMYFUNCTION("""COMPUTED_VALUE"""),"1104")</f>
        <v>1104</v>
      </c>
      <c r="V649" s="2" t="str">
        <f ca="1">IFERROR(__xludf.DUMMYFUNCTION("""COMPUTED_VALUE"""),"17.001.0009.0122.0171.2053.33.90.33")</f>
        <v>17.001.0009.0122.0171.2053.33.90.33</v>
      </c>
      <c r="W649" s="2" t="str">
        <f ca="1">IFERROR(__xludf.DUMMYFUNCTION("""COMPUTED_VALUE"""),"100")</f>
        <v>100</v>
      </c>
      <c r="X649" s="2"/>
      <c r="Y649" s="2"/>
      <c r="Z649" s="2"/>
      <c r="AA649" s="2"/>
      <c r="AB649" s="2"/>
      <c r="AC649" s="2"/>
      <c r="AD649" s="2"/>
      <c r="AE649" s="2"/>
      <c r="AF649" s="2"/>
    </row>
    <row r="650" spans="1:32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>
        <f ca="1">IFERROR(__xludf.DUMMYFUNCTION("""COMPUTED_VALUE"""),2023)</f>
        <v>2023</v>
      </c>
      <c r="Q650" s="2" t="str">
        <f ca="1">IFERROR(__xludf.DUMMYFUNCTION("""COMPUTED_VALUE"""),"0716")</f>
        <v>0716</v>
      </c>
      <c r="R650" s="2" t="str">
        <f ca="1">IFERROR(__xludf.DUMMYFUNCTION("""COMPUTED_VALUE"""),"08.007.0008.0241.0118.1014.44.50.42")</f>
        <v>08.007.0008.0241.0118.1014.44.50.42</v>
      </c>
      <c r="S650" s="2" t="str">
        <f ca="1">IFERROR(__xludf.DUMMYFUNCTION("""COMPUTED_VALUE"""),"0000")</f>
        <v>0000</v>
      </c>
      <c r="T650" s="2">
        <f ca="1">IFERROR(__xludf.DUMMYFUNCTION("""COMPUTED_VALUE"""),2024)</f>
        <v>2024</v>
      </c>
      <c r="U650" s="2" t="str">
        <f ca="1">IFERROR(__xludf.DUMMYFUNCTION("""COMPUTED_VALUE"""),"1105")</f>
        <v>1105</v>
      </c>
      <c r="V650" s="2" t="str">
        <f ca="1">IFERROR(__xludf.DUMMYFUNCTION("""COMPUTED_VALUE"""),"17.001.0009.0122.0171.2053.33.90.35")</f>
        <v>17.001.0009.0122.0171.2053.33.90.35</v>
      </c>
      <c r="W650" s="2" t="str">
        <f ca="1">IFERROR(__xludf.DUMMYFUNCTION("""COMPUTED_VALUE"""),"100")</f>
        <v>100</v>
      </c>
      <c r="X650" s="2"/>
      <c r="Y650" s="2"/>
      <c r="Z650" s="2"/>
      <c r="AA650" s="2"/>
      <c r="AB650" s="2"/>
      <c r="AC650" s="2"/>
      <c r="AD650" s="2"/>
      <c r="AE650" s="2"/>
      <c r="AF650" s="2"/>
    </row>
    <row r="651" spans="1:32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>
        <f ca="1">IFERROR(__xludf.DUMMYFUNCTION("""COMPUTED_VALUE"""),2023)</f>
        <v>2023</v>
      </c>
      <c r="Q651" s="2" t="str">
        <f ca="1">IFERROR(__xludf.DUMMYFUNCTION("""COMPUTED_VALUE"""),"0717")</f>
        <v>0717</v>
      </c>
      <c r="R651" s="2" t="str">
        <f ca="1">IFERROR(__xludf.DUMMYFUNCTION("""COMPUTED_VALUE"""),"08.005.0008.0243.0118.5000.44.50.42")</f>
        <v>08.005.0008.0243.0118.5000.44.50.42</v>
      </c>
      <c r="S651" s="2" t="str">
        <f ca="1">IFERROR(__xludf.DUMMYFUNCTION("""COMPUTED_VALUE"""),"0000")</f>
        <v>0000</v>
      </c>
      <c r="T651" s="2">
        <f ca="1">IFERROR(__xludf.DUMMYFUNCTION("""COMPUTED_VALUE"""),2024)</f>
        <v>2024</v>
      </c>
      <c r="U651" s="2" t="str">
        <f ca="1">IFERROR(__xludf.DUMMYFUNCTION("""COMPUTED_VALUE"""),"1106")</f>
        <v>1106</v>
      </c>
      <c r="V651" s="2" t="str">
        <f ca="1">IFERROR(__xludf.DUMMYFUNCTION("""COMPUTED_VALUE"""),"17.001.0009.0122.0171.2053.33.90.36")</f>
        <v>17.001.0009.0122.0171.2053.33.90.36</v>
      </c>
      <c r="W651" s="2" t="str">
        <f ca="1">IFERROR(__xludf.DUMMYFUNCTION("""COMPUTED_VALUE"""),"100")</f>
        <v>100</v>
      </c>
      <c r="X651" s="2"/>
      <c r="Y651" s="2"/>
      <c r="Z651" s="2"/>
      <c r="AA651" s="2"/>
      <c r="AB651" s="2"/>
      <c r="AC651" s="2"/>
      <c r="AD651" s="2"/>
      <c r="AE651" s="2"/>
      <c r="AF651" s="2"/>
    </row>
    <row r="652" spans="1:3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>
        <f ca="1">IFERROR(__xludf.DUMMYFUNCTION("""COMPUTED_VALUE"""),2023)</f>
        <v>2023</v>
      </c>
      <c r="Q652" s="2" t="str">
        <f ca="1">IFERROR(__xludf.DUMMYFUNCTION("""COMPUTED_VALUE"""),"0719")</f>
        <v>0719</v>
      </c>
      <c r="R652" s="2" t="str">
        <f ca="1">IFERROR(__xludf.DUMMYFUNCTION("""COMPUTED_VALUE"""),"06.001.0010.0301.0094.1071.44.71.70")</f>
        <v>06.001.0010.0301.0094.1071.44.71.70</v>
      </c>
      <c r="S652" s="2" t="str">
        <f ca="1">IFERROR(__xludf.DUMMYFUNCTION("""COMPUTED_VALUE"""),"00303")</f>
        <v>00303</v>
      </c>
      <c r="T652" s="2">
        <f ca="1">IFERROR(__xludf.DUMMYFUNCTION("""COMPUTED_VALUE"""),2024)</f>
        <v>2024</v>
      </c>
      <c r="U652" s="2" t="str">
        <f ca="1">IFERROR(__xludf.DUMMYFUNCTION("""COMPUTED_VALUE"""),"1107")</f>
        <v>1107</v>
      </c>
      <c r="V652" s="2" t="str">
        <f ca="1">IFERROR(__xludf.DUMMYFUNCTION("""COMPUTED_VALUE"""),"17.001.0009.0122.0171.2053.33.90.39")</f>
        <v>17.001.0009.0122.0171.2053.33.90.39</v>
      </c>
      <c r="W652" s="2" t="str">
        <f ca="1">IFERROR(__xludf.DUMMYFUNCTION("""COMPUTED_VALUE"""),"100")</f>
        <v>100</v>
      </c>
      <c r="X652" s="2"/>
      <c r="Y652" s="2"/>
      <c r="Z652" s="2"/>
      <c r="AA652" s="2"/>
      <c r="AB652" s="2"/>
      <c r="AC652" s="2"/>
      <c r="AD652" s="2"/>
      <c r="AE652" s="2"/>
      <c r="AF652" s="2"/>
    </row>
    <row r="653" spans="1:32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>
        <f ca="1">IFERROR(__xludf.DUMMYFUNCTION("""COMPUTED_VALUE"""),2023)</f>
        <v>2023</v>
      </c>
      <c r="Q653" s="2" t="str">
        <f ca="1">IFERROR(__xludf.DUMMYFUNCTION("""COMPUTED_VALUE"""),"0720")</f>
        <v>0720</v>
      </c>
      <c r="R653" s="2" t="str">
        <f ca="1">IFERROR(__xludf.DUMMYFUNCTION("""COMPUTED_VALUE"""),"10.004.0018.0541.0123.1200.44.71.70")</f>
        <v>10.004.0018.0541.0123.1200.44.71.70</v>
      </c>
      <c r="S653" s="2" t="str">
        <f ca="1">IFERROR(__xludf.DUMMYFUNCTION("""COMPUTED_VALUE"""),"00511")</f>
        <v>00511</v>
      </c>
      <c r="T653" s="2">
        <f ca="1">IFERROR(__xludf.DUMMYFUNCTION("""COMPUTED_VALUE"""),2024)</f>
        <v>2024</v>
      </c>
      <c r="U653" s="2" t="str">
        <f ca="1">IFERROR(__xludf.DUMMYFUNCTION("""COMPUTED_VALUE"""),"1103")</f>
        <v>1103</v>
      </c>
      <c r="V653" s="2" t="str">
        <f ca="1">IFERROR(__xludf.DUMMYFUNCTION("""COMPUTED_VALUE"""),"17.001.0009.0122.0171.2053.33.90.39")</f>
        <v>17.001.0009.0122.0171.2053.33.90.39</v>
      </c>
      <c r="W653" s="2" t="str">
        <f ca="1">IFERROR(__xludf.DUMMYFUNCTION("""COMPUTED_VALUE"""),"40")</f>
        <v>40</v>
      </c>
      <c r="X653" s="2"/>
      <c r="Y653" s="2"/>
      <c r="Z653" s="2"/>
      <c r="AA653" s="2"/>
      <c r="AB653" s="2"/>
      <c r="AC653" s="2"/>
      <c r="AD653" s="2"/>
      <c r="AE653" s="2"/>
      <c r="AF653" s="2"/>
    </row>
    <row r="654" spans="1:32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>
        <f ca="1">IFERROR(__xludf.DUMMYFUNCTION("""COMPUTED_VALUE"""),2023)</f>
        <v>2023</v>
      </c>
      <c r="Q654" s="2" t="str">
        <f ca="1">IFERROR(__xludf.DUMMYFUNCTION("""COMPUTED_VALUE"""),"0721")</f>
        <v>0721</v>
      </c>
      <c r="R654" s="2" t="str">
        <f ca="1">IFERROR(__xludf.DUMMYFUNCTION("""COMPUTED_VALUE"""),"04.001.0004.0122.0040.1000.44.90.30")</f>
        <v>04.001.0004.0122.0040.1000.44.90.30</v>
      </c>
      <c r="S654" s="2" t="str">
        <f ca="1">IFERROR(__xludf.DUMMYFUNCTION("""COMPUTED_VALUE"""),"0000")</f>
        <v>0000</v>
      </c>
      <c r="T654" s="2">
        <f ca="1">IFERROR(__xludf.DUMMYFUNCTION("""COMPUTED_VALUE"""),2024)</f>
        <v>2024</v>
      </c>
      <c r="U654" s="2" t="str">
        <f ca="1">IFERROR(__xludf.DUMMYFUNCTION("""COMPUTED_VALUE"""),"1108")</f>
        <v>1108</v>
      </c>
      <c r="V654" s="2" t="str">
        <f ca="1">IFERROR(__xludf.DUMMYFUNCTION("""COMPUTED_VALUE"""),"17.001.0009.0122.0171.2054.33.90.14")</f>
        <v>17.001.0009.0122.0171.2054.33.90.14</v>
      </c>
      <c r="W654" s="2" t="str">
        <f ca="1">IFERROR(__xludf.DUMMYFUNCTION("""COMPUTED_VALUE"""),"100")</f>
        <v>100</v>
      </c>
      <c r="X654" s="2"/>
      <c r="Y654" s="2"/>
      <c r="Z654" s="2"/>
      <c r="AA654" s="2"/>
      <c r="AB654" s="2"/>
      <c r="AC654" s="2"/>
      <c r="AD654" s="2"/>
      <c r="AE654" s="2"/>
      <c r="AF654" s="2"/>
    </row>
    <row r="655" spans="1:32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>
        <f ca="1">IFERROR(__xludf.DUMMYFUNCTION("""COMPUTED_VALUE"""),2023)</f>
        <v>2023</v>
      </c>
      <c r="Q655" s="2" t="str">
        <f ca="1">IFERROR(__xludf.DUMMYFUNCTION("""COMPUTED_VALUE"""),"0722")</f>
        <v>0722</v>
      </c>
      <c r="R655" s="2" t="str">
        <f ca="1">IFERROR(__xludf.DUMMYFUNCTION("""COMPUTED_VALUE"""),"04.004.0004.0122.0040.1001.44.90.30")</f>
        <v>04.004.0004.0122.0040.1001.44.90.30</v>
      </c>
      <c r="S655" s="2" t="str">
        <f ca="1">IFERROR(__xludf.DUMMYFUNCTION("""COMPUTED_VALUE"""),"0000")</f>
        <v>0000</v>
      </c>
      <c r="T655" s="2">
        <f ca="1">IFERROR(__xludf.DUMMYFUNCTION("""COMPUTED_VALUE"""),2024)</f>
        <v>2024</v>
      </c>
      <c r="U655" s="2" t="str">
        <f ca="1">IFERROR(__xludf.DUMMYFUNCTION("""COMPUTED_VALUE"""),"1109")</f>
        <v>1109</v>
      </c>
      <c r="V655" s="2" t="str">
        <f ca="1">IFERROR(__xludf.DUMMYFUNCTION("""COMPUTED_VALUE"""),"17.001.0009.0122.0171.2054.33.90.30")</f>
        <v>17.001.0009.0122.0171.2054.33.90.30</v>
      </c>
      <c r="W655" s="2" t="str">
        <f ca="1">IFERROR(__xludf.DUMMYFUNCTION("""COMPUTED_VALUE"""),"100")</f>
        <v>100</v>
      </c>
      <c r="X655" s="2"/>
      <c r="Y655" s="2"/>
      <c r="Z655" s="2"/>
      <c r="AA655" s="2"/>
      <c r="AB655" s="2"/>
      <c r="AC655" s="2"/>
      <c r="AD655" s="2"/>
      <c r="AE655" s="2"/>
      <c r="AF655" s="2"/>
    </row>
    <row r="656" spans="1:32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>
        <f ca="1">IFERROR(__xludf.DUMMYFUNCTION("""COMPUTED_VALUE"""),2023)</f>
        <v>2023</v>
      </c>
      <c r="Q656" s="2" t="str">
        <f ca="1">IFERROR(__xludf.DUMMYFUNCTION("""COMPUTED_VALUE"""),"0723")</f>
        <v>0723</v>
      </c>
      <c r="R656" s="2" t="str">
        <f ca="1">IFERROR(__xludf.DUMMYFUNCTION("""COMPUTED_VALUE"""),"05.001.0012.0361.0074.6012.44.90.30")</f>
        <v>05.001.0012.0361.0074.6012.44.90.30</v>
      </c>
      <c r="S656" s="2" t="str">
        <f ca="1">IFERROR(__xludf.DUMMYFUNCTION("""COMPUTED_VALUE"""),"00107")</f>
        <v>00107</v>
      </c>
      <c r="T656" s="2">
        <f ca="1">IFERROR(__xludf.DUMMYFUNCTION("""COMPUTED_VALUE"""),2024)</f>
        <v>2024</v>
      </c>
      <c r="U656" s="2" t="str">
        <f ca="1">IFERROR(__xludf.DUMMYFUNCTION("""COMPUTED_VALUE"""),"1110")</f>
        <v>1110</v>
      </c>
      <c r="V656" s="2" t="str">
        <f ca="1">IFERROR(__xludf.DUMMYFUNCTION("""COMPUTED_VALUE"""),"17.001.0009.0122.0171.2054.33.90.33")</f>
        <v>17.001.0009.0122.0171.2054.33.90.33</v>
      </c>
      <c r="W656" s="2" t="str">
        <f ca="1">IFERROR(__xludf.DUMMYFUNCTION("""COMPUTED_VALUE"""),"100")</f>
        <v>100</v>
      </c>
      <c r="X656" s="2"/>
      <c r="Y656" s="2"/>
      <c r="Z656" s="2"/>
      <c r="AA656" s="2"/>
      <c r="AB656" s="2"/>
      <c r="AC656" s="2"/>
      <c r="AD656" s="2"/>
      <c r="AE656" s="2"/>
      <c r="AF656" s="2"/>
    </row>
    <row r="657" spans="1:32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>
        <f ca="1">IFERROR(__xludf.DUMMYFUNCTION("""COMPUTED_VALUE"""),2023)</f>
        <v>2023</v>
      </c>
      <c r="Q657" s="2" t="str">
        <f ca="1">IFERROR(__xludf.DUMMYFUNCTION("""COMPUTED_VALUE"""),"0724")</f>
        <v>0724</v>
      </c>
      <c r="R657" s="2" t="str">
        <f ca="1">IFERROR(__xludf.DUMMYFUNCTION("""COMPUTED_VALUE"""),"05.001.0012.0361.0074.6018.44.90.30")</f>
        <v>05.001.0012.0361.0074.6018.44.90.30</v>
      </c>
      <c r="S657" s="2" t="str">
        <f ca="1">IFERROR(__xludf.DUMMYFUNCTION("""COMPUTED_VALUE"""),"00104")</f>
        <v>00104</v>
      </c>
      <c r="T657" s="2">
        <f ca="1">IFERROR(__xludf.DUMMYFUNCTION("""COMPUTED_VALUE"""),2024)</f>
        <v>2024</v>
      </c>
      <c r="U657" s="2" t="str">
        <f ca="1">IFERROR(__xludf.DUMMYFUNCTION("""COMPUTED_VALUE"""),"1111")</f>
        <v>1111</v>
      </c>
      <c r="V657" s="2" t="str">
        <f ca="1">IFERROR(__xludf.DUMMYFUNCTION("""COMPUTED_VALUE"""),"17.001.0009.0122.0171.2054.33.90.36")</f>
        <v>17.001.0009.0122.0171.2054.33.90.36</v>
      </c>
      <c r="W657" s="2" t="str">
        <f ca="1">IFERROR(__xludf.DUMMYFUNCTION("""COMPUTED_VALUE"""),"100")</f>
        <v>100</v>
      </c>
      <c r="X657" s="2"/>
      <c r="Y657" s="2"/>
      <c r="Z657" s="2"/>
      <c r="AA657" s="2"/>
      <c r="AB657" s="2"/>
      <c r="AC657" s="2"/>
      <c r="AD657" s="2"/>
      <c r="AE657" s="2"/>
      <c r="AF657" s="2"/>
    </row>
    <row r="658" spans="1:32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>
        <f ca="1">IFERROR(__xludf.DUMMYFUNCTION("""COMPUTED_VALUE"""),2023)</f>
        <v>2023</v>
      </c>
      <c r="Q658" s="2" t="str">
        <f ca="1">IFERROR(__xludf.DUMMYFUNCTION("""COMPUTED_VALUE"""),"0725")</f>
        <v>0725</v>
      </c>
      <c r="R658" s="2" t="str">
        <f ca="1">IFERROR(__xludf.DUMMYFUNCTION("""COMPUTED_VALUE"""),"11.002.0013.0392.0082.1003.44.90.30")</f>
        <v>11.002.0013.0392.0082.1003.44.90.30</v>
      </c>
      <c r="S658" s="2" t="str">
        <f ca="1">IFERROR(__xludf.DUMMYFUNCTION("""COMPUTED_VALUE"""),"0000")</f>
        <v>0000</v>
      </c>
      <c r="T658" s="2">
        <f ca="1">IFERROR(__xludf.DUMMYFUNCTION("""COMPUTED_VALUE"""),2024)</f>
        <v>2024</v>
      </c>
      <c r="U658" s="2" t="str">
        <f ca="1">IFERROR(__xludf.DUMMYFUNCTION("""COMPUTED_VALUE"""),"1112")</f>
        <v>1112</v>
      </c>
      <c r="V658" s="2" t="str">
        <f ca="1">IFERROR(__xludf.DUMMYFUNCTION("""COMPUTED_VALUE"""),"17.001.0009.0122.0171.2054.33.90.39")</f>
        <v>17.001.0009.0122.0171.2054.33.90.39</v>
      </c>
      <c r="W658" s="2" t="str">
        <f ca="1">IFERROR(__xludf.DUMMYFUNCTION("""COMPUTED_VALUE"""),"100")</f>
        <v>100</v>
      </c>
      <c r="X658" s="2"/>
      <c r="Y658" s="2"/>
      <c r="Z658" s="2"/>
      <c r="AA658" s="2"/>
      <c r="AB658" s="2"/>
      <c r="AC658" s="2"/>
      <c r="AD658" s="2"/>
      <c r="AE658" s="2"/>
      <c r="AF658" s="2"/>
    </row>
    <row r="659" spans="1:32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>
        <f ca="1">IFERROR(__xludf.DUMMYFUNCTION("""COMPUTED_VALUE"""),2023)</f>
        <v>2023</v>
      </c>
      <c r="Q659" s="2" t="str">
        <f ca="1">IFERROR(__xludf.DUMMYFUNCTION("""COMPUTED_VALUE"""),"0726")</f>
        <v>0726</v>
      </c>
      <c r="R659" s="2" t="str">
        <f ca="1">IFERROR(__xludf.DUMMYFUNCTION("""COMPUTED_VALUE"""),"11.003.0027.0812.0083.1005.44.90.30")</f>
        <v>11.003.0027.0812.0083.1005.44.90.30</v>
      </c>
      <c r="S659" s="2" t="str">
        <f ca="1">IFERROR(__xludf.DUMMYFUNCTION("""COMPUTED_VALUE"""),"0000")</f>
        <v>0000</v>
      </c>
      <c r="T659" s="2">
        <f ca="1">IFERROR(__xludf.DUMMYFUNCTION("""COMPUTED_VALUE"""),2024)</f>
        <v>2024</v>
      </c>
      <c r="U659" s="2" t="str">
        <f ca="1">IFERROR(__xludf.DUMMYFUNCTION("""COMPUTED_VALUE"""),"1113")</f>
        <v>1113</v>
      </c>
      <c r="V659" s="2" t="str">
        <f ca="1">IFERROR(__xludf.DUMMYFUNCTION("""COMPUTED_VALUE"""),"17.001.0009.0122.0171.2054.33.90.40")</f>
        <v>17.001.0009.0122.0171.2054.33.90.40</v>
      </c>
      <c r="W659" s="2" t="str">
        <f ca="1">IFERROR(__xludf.DUMMYFUNCTION("""COMPUTED_VALUE"""),"100")</f>
        <v>100</v>
      </c>
      <c r="X659" s="2"/>
      <c r="Y659" s="2"/>
      <c r="Z659" s="2"/>
      <c r="AA659" s="2"/>
      <c r="AB659" s="2"/>
      <c r="AC659" s="2"/>
      <c r="AD659" s="2"/>
      <c r="AE659" s="2"/>
      <c r="AF659" s="2"/>
    </row>
    <row r="660" spans="1:32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>
        <f ca="1">IFERROR(__xludf.DUMMYFUNCTION("""COMPUTED_VALUE"""),2023)</f>
        <v>2023</v>
      </c>
      <c r="Q660" s="2" t="str">
        <f ca="1">IFERROR(__xludf.DUMMYFUNCTION("""COMPUTED_VALUE"""),"0727")</f>
        <v>0727</v>
      </c>
      <c r="R660" s="2" t="str">
        <f ca="1">IFERROR(__xludf.DUMMYFUNCTION("""COMPUTED_VALUE"""),"06.001.0010.0301.0094.1015.44.90.30")</f>
        <v>06.001.0010.0301.0094.1015.44.90.30</v>
      </c>
      <c r="S660" s="2" t="str">
        <f ca="1">IFERROR(__xludf.DUMMYFUNCTION("""COMPUTED_VALUE"""),"00303")</f>
        <v>00303</v>
      </c>
      <c r="T660" s="2">
        <f ca="1">IFERROR(__xludf.DUMMYFUNCTION("""COMPUTED_VALUE"""),2024)</f>
        <v>2024</v>
      </c>
      <c r="U660" s="2" t="str">
        <f ca="1">IFERROR(__xludf.DUMMYFUNCTION("""COMPUTED_VALUE"""),"1114")</f>
        <v>1114</v>
      </c>
      <c r="V660" s="2" t="str">
        <f ca="1">IFERROR(__xludf.DUMMYFUNCTION("""COMPUTED_VALUE"""),"17.001.0009.0122.0171.2054.44.90.52")</f>
        <v>17.001.0009.0122.0171.2054.44.90.52</v>
      </c>
      <c r="W660" s="2" t="str">
        <f ca="1">IFERROR(__xludf.DUMMYFUNCTION("""COMPUTED_VALUE"""),"100")</f>
        <v>100</v>
      </c>
      <c r="X660" s="2"/>
      <c r="Y660" s="2"/>
      <c r="Z660" s="2"/>
      <c r="AA660" s="2"/>
      <c r="AB660" s="2"/>
      <c r="AC660" s="2"/>
      <c r="AD660" s="2"/>
      <c r="AE660" s="2"/>
      <c r="AF660" s="2"/>
    </row>
    <row r="661" spans="1:32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>
        <f ca="1">IFERROR(__xludf.DUMMYFUNCTION("""COMPUTED_VALUE"""),2023)</f>
        <v>2023</v>
      </c>
      <c r="Q661" s="2" t="str">
        <f ca="1">IFERROR(__xludf.DUMMYFUNCTION("""COMPUTED_VALUE"""),"0728")</f>
        <v>0728</v>
      </c>
      <c r="R661" s="2" t="str">
        <f ca="1">IFERROR(__xludf.DUMMYFUNCTION("""COMPUTED_VALUE"""),"06.001.0010.0305.0094.1018.44.90.30")</f>
        <v>06.001.0010.0305.0094.1018.44.90.30</v>
      </c>
      <c r="S661" s="2" t="str">
        <f ca="1">IFERROR(__xludf.DUMMYFUNCTION("""COMPUTED_VALUE"""),"00303")</f>
        <v>00303</v>
      </c>
      <c r="T661" s="2">
        <f ca="1">IFERROR(__xludf.DUMMYFUNCTION("""COMPUTED_VALUE"""),2024)</f>
        <v>2024</v>
      </c>
      <c r="U661" s="2" t="str">
        <f ca="1">IFERROR(__xludf.DUMMYFUNCTION("""COMPUTED_VALUE"""),"1115")</f>
        <v>1115</v>
      </c>
      <c r="V661" s="2" t="str">
        <f ca="1">IFERROR(__xludf.DUMMYFUNCTION("""COMPUTED_VALUE"""),"17.001.0009.0272.0171.0010.31.90.01")</f>
        <v>17.001.0009.0272.0171.0010.31.90.01</v>
      </c>
      <c r="W661" s="2" t="str">
        <f ca="1">IFERROR(__xludf.DUMMYFUNCTION("""COMPUTED_VALUE"""),"100")</f>
        <v>100</v>
      </c>
      <c r="X661" s="2"/>
      <c r="Y661" s="2"/>
      <c r="Z661" s="2"/>
      <c r="AA661" s="2"/>
      <c r="AB661" s="2"/>
      <c r="AC661" s="2"/>
      <c r="AD661" s="2"/>
      <c r="AE661" s="2"/>
      <c r="AF661" s="2"/>
    </row>
    <row r="662" spans="1:3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>
        <f ca="1">IFERROR(__xludf.DUMMYFUNCTION("""COMPUTED_VALUE"""),2023)</f>
        <v>2023</v>
      </c>
      <c r="Q662" s="2" t="str">
        <f ca="1">IFERROR(__xludf.DUMMYFUNCTION("""COMPUTED_VALUE"""),"0729")</f>
        <v>0729</v>
      </c>
      <c r="R662" s="2" t="str">
        <f ca="1">IFERROR(__xludf.DUMMYFUNCTION("""COMPUTED_VALUE"""),"06.001.0010.0301.0094.1019.44.90.30")</f>
        <v>06.001.0010.0301.0094.1019.44.90.30</v>
      </c>
      <c r="S662" s="2" t="str">
        <f ca="1">IFERROR(__xludf.DUMMYFUNCTION("""COMPUTED_VALUE"""),"00303")</f>
        <v>00303</v>
      </c>
      <c r="T662" s="2">
        <f ca="1">IFERROR(__xludf.DUMMYFUNCTION("""COMPUTED_VALUE"""),2024)</f>
        <v>2024</v>
      </c>
      <c r="U662" s="2" t="str">
        <f ca="1">IFERROR(__xludf.DUMMYFUNCTION("""COMPUTED_VALUE"""),"1116")</f>
        <v>1116</v>
      </c>
      <c r="V662" s="2" t="str">
        <f ca="1">IFERROR(__xludf.DUMMYFUNCTION("""COMPUTED_VALUE"""),"17.001.0009.0272.0171.0010.31.90.03")</f>
        <v>17.001.0009.0272.0171.0010.31.90.03</v>
      </c>
      <c r="W662" s="2" t="str">
        <f ca="1">IFERROR(__xludf.DUMMYFUNCTION("""COMPUTED_VALUE"""),"40")</f>
        <v>40</v>
      </c>
      <c r="X662" s="2"/>
      <c r="Y662" s="2"/>
      <c r="Z662" s="2"/>
      <c r="AA662" s="2"/>
      <c r="AB662" s="2"/>
      <c r="AC662" s="2"/>
      <c r="AD662" s="2"/>
      <c r="AE662" s="2"/>
      <c r="AF662" s="2"/>
    </row>
    <row r="663" spans="1:32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>
        <f ca="1">IFERROR(__xludf.DUMMYFUNCTION("""COMPUTED_VALUE"""),2023)</f>
        <v>2023</v>
      </c>
      <c r="Q663" s="2" t="str">
        <f ca="1">IFERROR(__xludf.DUMMYFUNCTION("""COMPUTED_VALUE"""),"0730")</f>
        <v>0730</v>
      </c>
      <c r="R663" s="2" t="str">
        <f ca="1">IFERROR(__xludf.DUMMYFUNCTION("""COMPUTED_VALUE"""),"06.001.0010.0302.0094.1020.44.90.30")</f>
        <v>06.001.0010.0302.0094.1020.44.90.30</v>
      </c>
      <c r="S663" s="2" t="str">
        <f ca="1">IFERROR(__xludf.DUMMYFUNCTION("""COMPUTED_VALUE"""),"00303")</f>
        <v>00303</v>
      </c>
      <c r="T663" s="2">
        <f ca="1">IFERROR(__xludf.DUMMYFUNCTION("""COMPUTED_VALUE"""),2024)</f>
        <v>2024</v>
      </c>
      <c r="U663" s="2" t="str">
        <f ca="1">IFERROR(__xludf.DUMMYFUNCTION("""COMPUTED_VALUE"""),"1117")</f>
        <v>1117</v>
      </c>
      <c r="V663" s="2" t="str">
        <f ca="1">IFERROR(__xludf.DUMMYFUNCTION("""COMPUTED_VALUE"""),"17.001.0009.0272.0171.0010.31.90.94")</f>
        <v>17.001.0009.0272.0171.0010.31.90.94</v>
      </c>
      <c r="W663" s="2" t="str">
        <f ca="1">IFERROR(__xludf.DUMMYFUNCTION("""COMPUTED_VALUE"""),"40")</f>
        <v>40</v>
      </c>
      <c r="X663" s="2"/>
      <c r="Y663" s="2"/>
      <c r="Z663" s="2"/>
      <c r="AA663" s="2"/>
      <c r="AB663" s="2"/>
      <c r="AC663" s="2"/>
      <c r="AD663" s="2"/>
      <c r="AE663" s="2"/>
      <c r="AF663" s="2"/>
    </row>
    <row r="664" spans="1:32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>
        <f ca="1">IFERROR(__xludf.DUMMYFUNCTION("""COMPUTED_VALUE"""),2023)</f>
        <v>2023</v>
      </c>
      <c r="Q664" s="2" t="str">
        <f ca="1">IFERROR(__xludf.DUMMYFUNCTION("""COMPUTED_VALUE"""),"0731")</f>
        <v>0731</v>
      </c>
      <c r="R664" s="2" t="str">
        <f ca="1">IFERROR(__xludf.DUMMYFUNCTION("""COMPUTED_VALUE"""),"06.001.0010.0302.0094.1021.44.90.30")</f>
        <v>06.001.0010.0302.0094.1021.44.90.30</v>
      </c>
      <c r="S664" s="2" t="str">
        <f ca="1">IFERROR(__xludf.DUMMYFUNCTION("""COMPUTED_VALUE"""),"00303")</f>
        <v>00303</v>
      </c>
      <c r="T664" s="2">
        <f ca="1">IFERROR(__xludf.DUMMYFUNCTION("""COMPUTED_VALUE"""),2024)</f>
        <v>2024</v>
      </c>
      <c r="U664" s="2" t="str">
        <f ca="1">IFERROR(__xludf.DUMMYFUNCTION("""COMPUTED_VALUE"""),"1118")</f>
        <v>1118</v>
      </c>
      <c r="V664" s="2" t="str">
        <f ca="1">IFERROR(__xludf.DUMMYFUNCTION("""COMPUTED_VALUE"""),"17.001.0009.0272.0171.2055.33.90.40")</f>
        <v>17.001.0009.0272.0171.2055.33.90.40</v>
      </c>
      <c r="W664" s="2" t="str">
        <f ca="1">IFERROR(__xludf.DUMMYFUNCTION("""COMPUTED_VALUE"""),"40")</f>
        <v>40</v>
      </c>
      <c r="X664" s="2"/>
      <c r="Y664" s="2"/>
      <c r="Z664" s="2"/>
      <c r="AA664" s="2"/>
      <c r="AB664" s="2"/>
      <c r="AC664" s="2"/>
      <c r="AD664" s="2"/>
      <c r="AE664" s="2"/>
      <c r="AF664" s="2"/>
    </row>
    <row r="665" spans="1:32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>
        <f ca="1">IFERROR(__xludf.DUMMYFUNCTION("""COMPUTED_VALUE"""),2023)</f>
        <v>2023</v>
      </c>
      <c r="Q665" s="2" t="str">
        <f ca="1">IFERROR(__xludf.DUMMYFUNCTION("""COMPUTED_VALUE"""),"0732")</f>
        <v>0732</v>
      </c>
      <c r="R665" s="2" t="str">
        <f ca="1">IFERROR(__xludf.DUMMYFUNCTION("""COMPUTED_VALUE"""),"06.001.0010.0301.0094.1023.44.90.30")</f>
        <v>06.001.0010.0301.0094.1023.44.90.30</v>
      </c>
      <c r="S665" s="2" t="str">
        <f ca="1">IFERROR(__xludf.DUMMYFUNCTION("""COMPUTED_VALUE"""),"00303")</f>
        <v>00303</v>
      </c>
      <c r="T665" s="2">
        <f ca="1">IFERROR(__xludf.DUMMYFUNCTION("""COMPUTED_VALUE"""),2024)</f>
        <v>2024</v>
      </c>
      <c r="U665" s="2" t="str">
        <f ca="1">IFERROR(__xludf.DUMMYFUNCTION("""COMPUTED_VALUE"""),"1119")</f>
        <v>1119</v>
      </c>
      <c r="V665" s="2" t="str">
        <f ca="1">IFERROR(__xludf.DUMMYFUNCTION("""COMPUTED_VALUE"""),"17.001.0009.0272.0171.2055.33.90.86")</f>
        <v>17.001.0009.0272.0171.2055.33.90.86</v>
      </c>
      <c r="W665" s="2" t="str">
        <f ca="1">IFERROR(__xludf.DUMMYFUNCTION("""COMPUTED_VALUE"""),"100")</f>
        <v>100</v>
      </c>
      <c r="X665" s="2"/>
      <c r="Y665" s="2"/>
      <c r="Z665" s="2"/>
      <c r="AA665" s="2"/>
      <c r="AB665" s="2"/>
      <c r="AC665" s="2"/>
      <c r="AD665" s="2"/>
      <c r="AE665" s="2"/>
      <c r="AF665" s="2"/>
    </row>
    <row r="666" spans="1:32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>
        <f ca="1">IFERROR(__xludf.DUMMYFUNCTION("""COMPUTED_VALUE"""),2023)</f>
        <v>2023</v>
      </c>
      <c r="Q666" s="2" t="str">
        <f ca="1">IFERROR(__xludf.DUMMYFUNCTION("""COMPUTED_VALUE"""),"0733")</f>
        <v>0733</v>
      </c>
      <c r="R666" s="2" t="str">
        <f ca="1">IFERROR(__xludf.DUMMYFUNCTION("""COMPUTED_VALUE"""),"07.002.0015.0451.0104.1046.44.90.30")</f>
        <v>07.002.0015.0451.0104.1046.44.90.30</v>
      </c>
      <c r="S666" s="2" t="str">
        <f ca="1">IFERROR(__xludf.DUMMYFUNCTION("""COMPUTED_VALUE"""),"0000")</f>
        <v>0000</v>
      </c>
      <c r="T666" s="2">
        <f ca="1">IFERROR(__xludf.DUMMYFUNCTION("""COMPUTED_VALUE"""),2024)</f>
        <v>2024</v>
      </c>
      <c r="U666" s="2" t="str">
        <f ca="1">IFERROR(__xludf.DUMMYFUNCTION("""COMPUTED_VALUE"""),"1120")</f>
        <v>1120</v>
      </c>
      <c r="V666" s="2" t="str">
        <f ca="1">IFERROR(__xludf.DUMMYFUNCTION("""COMPUTED_VALUE"""),"17.001.0099.0997.9999.9997.99.99.99")</f>
        <v>17.001.0099.0997.9999.9997.99.99.99</v>
      </c>
      <c r="W666" s="2" t="str">
        <f ca="1">IFERROR(__xludf.DUMMYFUNCTION("""COMPUTED_VALUE"""),"551")</f>
        <v>551</v>
      </c>
      <c r="X666" s="2"/>
      <c r="Y666" s="2"/>
      <c r="Z666" s="2"/>
      <c r="AA666" s="2"/>
      <c r="AB666" s="2"/>
      <c r="AC666" s="2"/>
      <c r="AD666" s="2"/>
      <c r="AE666" s="2"/>
      <c r="AF666" s="2"/>
    </row>
    <row r="667" spans="1:32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>
        <f ca="1">IFERROR(__xludf.DUMMYFUNCTION("""COMPUTED_VALUE"""),2023)</f>
        <v>2023</v>
      </c>
      <c r="Q667" s="2" t="str">
        <f ca="1">IFERROR(__xludf.DUMMYFUNCTION("""COMPUTED_VALUE"""),"0734")</f>
        <v>0734</v>
      </c>
      <c r="R667" s="2" t="str">
        <f ca="1">IFERROR(__xludf.DUMMYFUNCTION("""COMPUTED_VALUE"""),"07.002.0015.0451.0104.1046.44.90.30")</f>
        <v>07.002.0015.0451.0104.1046.44.90.30</v>
      </c>
      <c r="S667" s="2" t="str">
        <f ca="1">IFERROR(__xludf.DUMMYFUNCTION("""COMPUTED_VALUE"""),"00033")</f>
        <v>00033</v>
      </c>
      <c r="T667" s="2">
        <f ca="1">IFERROR(__xludf.DUMMYFUNCTION("""COMPUTED_VALUE"""),2024)</f>
        <v>2024</v>
      </c>
      <c r="U667" s="2" t="str">
        <f ca="1">IFERROR(__xludf.DUMMYFUNCTION("""COMPUTED_VALUE"""),"1121")</f>
        <v>1121</v>
      </c>
      <c r="V667" s="2" t="str">
        <f ca="1">IFERROR(__xludf.DUMMYFUNCTION("""COMPUTED_VALUE"""),"17.001.0099.0997.9999.9997.99.99.99")</f>
        <v>17.001.0099.0997.9999.9997.99.99.99</v>
      </c>
      <c r="W667" s="2" t="str">
        <f ca="1">IFERROR(__xludf.DUMMYFUNCTION("""COMPUTED_VALUE"""),"40")</f>
        <v>40</v>
      </c>
      <c r="X667" s="2"/>
      <c r="Y667" s="2"/>
      <c r="Z667" s="2"/>
      <c r="AA667" s="2"/>
      <c r="AB667" s="2"/>
      <c r="AC667" s="2"/>
      <c r="AD667" s="2"/>
      <c r="AE667" s="2"/>
      <c r="AF667" s="2"/>
    </row>
    <row r="668" spans="1:32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>
        <f ca="1">IFERROR(__xludf.DUMMYFUNCTION("""COMPUTED_VALUE"""),2023)</f>
        <v>2023</v>
      </c>
      <c r="Q668" s="2" t="str">
        <f ca="1">IFERROR(__xludf.DUMMYFUNCTION("""COMPUTED_VALUE"""),"0735")</f>
        <v>0735</v>
      </c>
      <c r="R668" s="2" t="str">
        <f ca="1">IFERROR(__xludf.DUMMYFUNCTION("""COMPUTED_VALUE"""),"07.002.0015.0451.0104.1046.44.90.30")</f>
        <v>07.002.0015.0451.0104.1046.44.90.30</v>
      </c>
      <c r="S668" s="2" t="str">
        <f ca="1">IFERROR(__xludf.DUMMYFUNCTION("""COMPUTED_VALUE"""),"00504")</f>
        <v>00504</v>
      </c>
      <c r="T668" s="2">
        <f ca="1">IFERROR(__xludf.DUMMYFUNCTION("""COMPUTED_VALUE"""),2024)</f>
        <v>2024</v>
      </c>
      <c r="U668" s="2" t="str">
        <f ca="1">IFERROR(__xludf.DUMMYFUNCTION("""COMPUTED_VALUE"""),"1122")</f>
        <v>1122</v>
      </c>
      <c r="V668" s="2" t="str">
        <f ca="1">IFERROR(__xludf.DUMMYFUNCTION("""COMPUTED_VALUE"""),"18.001.0004.0121.0140.1006.44.90.52")</f>
        <v>18.001.0004.0121.0140.1006.44.90.52</v>
      </c>
      <c r="W668" s="2" t="str">
        <f ca="1">IFERROR(__xludf.DUMMYFUNCTION("""COMPUTED_VALUE"""),"551")</f>
        <v>551</v>
      </c>
      <c r="X668" s="2"/>
      <c r="Y668" s="2"/>
      <c r="Z668" s="2"/>
      <c r="AA668" s="2"/>
      <c r="AB668" s="2"/>
      <c r="AC668" s="2"/>
      <c r="AD668" s="2"/>
      <c r="AE668" s="2"/>
      <c r="AF668" s="2"/>
    </row>
    <row r="669" spans="1:32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>
        <f ca="1">IFERROR(__xludf.DUMMYFUNCTION("""COMPUTED_VALUE"""),2023)</f>
        <v>2023</v>
      </c>
      <c r="Q669" s="2" t="str">
        <f ca="1">IFERROR(__xludf.DUMMYFUNCTION("""COMPUTED_VALUE"""),"0736")</f>
        <v>0736</v>
      </c>
      <c r="R669" s="2" t="str">
        <f ca="1">IFERROR(__xludf.DUMMYFUNCTION("""COMPUTED_VALUE"""),"07.002.0015.0451.0104.1046.44.90.30")</f>
        <v>07.002.0015.0451.0104.1046.44.90.30</v>
      </c>
      <c r="S669" s="2" t="str">
        <f ca="1">IFERROR(__xludf.DUMMYFUNCTION("""COMPUTED_VALUE"""),"00512")</f>
        <v>00512</v>
      </c>
      <c r="T669" s="2">
        <f ca="1">IFERROR(__xludf.DUMMYFUNCTION("""COMPUTED_VALUE"""),2024)</f>
        <v>2024</v>
      </c>
      <c r="U669" s="2" t="str">
        <f ca="1">IFERROR(__xludf.DUMMYFUNCTION("""COMPUTED_VALUE"""),"0847")</f>
        <v>0847</v>
      </c>
      <c r="V669" s="2" t="str">
        <f ca="1">IFERROR(__xludf.DUMMYFUNCTION("""COMPUTED_VALUE"""),"18.001.0004.0121.0140.1006.44.90.93")</f>
        <v>18.001.0004.0121.0140.1006.44.90.93</v>
      </c>
      <c r="W669" s="2" t="str">
        <f ca="1">IFERROR(__xludf.DUMMYFUNCTION("""COMPUTED_VALUE"""),"0")</f>
        <v>0</v>
      </c>
      <c r="X669" s="2"/>
      <c r="Y669" s="2"/>
      <c r="Z669" s="2"/>
      <c r="AA669" s="2"/>
      <c r="AB669" s="2"/>
      <c r="AC669" s="2"/>
      <c r="AD669" s="2"/>
      <c r="AE669" s="2"/>
      <c r="AF669" s="2"/>
    </row>
    <row r="670" spans="1:32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>
        <f ca="1">IFERROR(__xludf.DUMMYFUNCTION("""COMPUTED_VALUE"""),2023)</f>
        <v>2023</v>
      </c>
      <c r="Q670" s="2" t="str">
        <f ca="1">IFERROR(__xludf.DUMMYFUNCTION("""COMPUTED_VALUE"""),"0737")</f>
        <v>0737</v>
      </c>
      <c r="R670" s="2" t="str">
        <f ca="1">IFERROR(__xludf.DUMMYFUNCTION("""COMPUTED_VALUE"""),"07.002.0015.0451.0104.1046.44.90.30")</f>
        <v>07.002.0015.0451.0104.1046.44.90.30</v>
      </c>
      <c r="S670" s="2" t="str">
        <f ca="1">IFERROR(__xludf.DUMMYFUNCTION("""COMPUTED_VALUE"""),"05102")</f>
        <v>05102</v>
      </c>
      <c r="T670" s="2">
        <f ca="1">IFERROR(__xludf.DUMMYFUNCTION("""COMPUTED_VALUE"""),2024)</f>
        <v>2024</v>
      </c>
      <c r="U670" s="2" t="str">
        <f ca="1">IFERROR(__xludf.DUMMYFUNCTION("""COMPUTED_VALUE"""),"0848")</f>
        <v>0848</v>
      </c>
      <c r="V670" s="2" t="str">
        <f ca="1">IFERROR(__xludf.DUMMYFUNCTION("""COMPUTED_VALUE"""),"18.001.0004.0121.0140.2023.31.90.13")</f>
        <v>18.001.0004.0121.0140.2023.31.90.13</v>
      </c>
      <c r="W670" s="2" t="str">
        <f ca="1">IFERROR(__xludf.DUMMYFUNCTION("""COMPUTED_VALUE"""),"0")</f>
        <v>0</v>
      </c>
      <c r="X670" s="2"/>
      <c r="Y670" s="2"/>
      <c r="Z670" s="2"/>
      <c r="AA670" s="2"/>
      <c r="AB670" s="2"/>
      <c r="AC670" s="2"/>
      <c r="AD670" s="2"/>
      <c r="AE670" s="2"/>
      <c r="AF670" s="2"/>
    </row>
    <row r="671" spans="1:32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>
        <f ca="1">IFERROR(__xludf.DUMMYFUNCTION("""COMPUTED_VALUE"""),2023)</f>
        <v>2023</v>
      </c>
      <c r="Q671" s="2" t="str">
        <f ca="1">IFERROR(__xludf.DUMMYFUNCTION("""COMPUTED_VALUE"""),"0738")</f>
        <v>0738</v>
      </c>
      <c r="R671" s="2" t="str">
        <f ca="1">IFERROR(__xludf.DUMMYFUNCTION("""COMPUTED_VALUE"""),"07.003.0015.0452.0104.1051.44.90.30")</f>
        <v>07.003.0015.0452.0104.1051.44.90.30</v>
      </c>
      <c r="S671" s="2" t="str">
        <f ca="1">IFERROR(__xludf.DUMMYFUNCTION("""COMPUTED_VALUE"""),"0000")</f>
        <v>0000</v>
      </c>
      <c r="T671" s="2">
        <f ca="1">IFERROR(__xludf.DUMMYFUNCTION("""COMPUTED_VALUE"""),2024)</f>
        <v>2024</v>
      </c>
      <c r="U671" s="2" t="str">
        <f ca="1">IFERROR(__xludf.DUMMYFUNCTION("""COMPUTED_VALUE"""),"0863")</f>
        <v>0863</v>
      </c>
      <c r="V671" s="2" t="str">
        <f ca="1">IFERROR(__xludf.DUMMYFUNCTION("""COMPUTED_VALUE"""),"18.001.0004.0121.0140.2023.33.90.14")</f>
        <v>18.001.0004.0121.0140.2023.33.90.14</v>
      </c>
      <c r="W671" s="2" t="str">
        <f ca="1">IFERROR(__xludf.DUMMYFUNCTION("""COMPUTED_VALUE"""),"509")</f>
        <v>509</v>
      </c>
      <c r="X671" s="2"/>
      <c r="Y671" s="2"/>
      <c r="Z671" s="2"/>
      <c r="AA671" s="2"/>
      <c r="AB671" s="2"/>
      <c r="AC671" s="2"/>
      <c r="AD671" s="2"/>
      <c r="AE671" s="2"/>
      <c r="AF671" s="2"/>
    </row>
    <row r="672" spans="1:3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>
        <f ca="1">IFERROR(__xludf.DUMMYFUNCTION("""COMPUTED_VALUE"""),2023)</f>
        <v>2023</v>
      </c>
      <c r="Q672" s="2" t="str">
        <f ca="1">IFERROR(__xludf.DUMMYFUNCTION("""COMPUTED_VALUE"""),"0739")</f>
        <v>0739</v>
      </c>
      <c r="R672" s="2" t="str">
        <f ca="1">IFERROR(__xludf.DUMMYFUNCTION("""COMPUTED_VALUE"""),"07.003.0015.0452.0107.1045.44.90.30")</f>
        <v>07.003.0015.0452.0107.1045.44.90.30</v>
      </c>
      <c r="S672" s="2" t="str">
        <f ca="1">IFERROR(__xludf.DUMMYFUNCTION("""COMPUTED_VALUE"""),"0000")</f>
        <v>0000</v>
      </c>
      <c r="T672" s="2">
        <f ca="1">IFERROR(__xludf.DUMMYFUNCTION("""COMPUTED_VALUE"""),2024)</f>
        <v>2024</v>
      </c>
      <c r="U672" s="2" t="str">
        <f ca="1">IFERROR(__xludf.DUMMYFUNCTION("""COMPUTED_VALUE"""),"0853")</f>
        <v>0853</v>
      </c>
      <c r="V672" s="2" t="str">
        <f ca="1">IFERROR(__xludf.DUMMYFUNCTION("""COMPUTED_VALUE"""),"18.001.0004.0121.0140.2023.33.90.30")</f>
        <v>18.001.0004.0121.0140.2023.33.90.30</v>
      </c>
      <c r="W672" s="2" t="str">
        <f ca="1">IFERROR(__xludf.DUMMYFUNCTION("""COMPUTED_VALUE"""),"0")</f>
        <v>0</v>
      </c>
      <c r="X672" s="2"/>
      <c r="Y672" s="2"/>
      <c r="Z672" s="2"/>
      <c r="AA672" s="2"/>
      <c r="AB672" s="2"/>
      <c r="AC672" s="2"/>
      <c r="AD672" s="2"/>
      <c r="AE672" s="2"/>
      <c r="AF672" s="2"/>
    </row>
    <row r="673" spans="1:32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>
        <f ca="1">IFERROR(__xludf.DUMMYFUNCTION("""COMPUTED_VALUE"""),2023)</f>
        <v>2023</v>
      </c>
      <c r="Q673" s="2" t="str">
        <f ca="1">IFERROR(__xludf.DUMMYFUNCTION("""COMPUTED_VALUE"""),"0740")</f>
        <v>0740</v>
      </c>
      <c r="R673" s="2" t="str">
        <f ca="1">IFERROR(__xludf.DUMMYFUNCTION("""COMPUTED_VALUE"""),"07.003.0015.0452.0107.1045.44.90.30")</f>
        <v>07.003.0015.0452.0107.1045.44.90.30</v>
      </c>
      <c r="S673" s="2" t="str">
        <f ca="1">IFERROR(__xludf.DUMMYFUNCTION("""COMPUTED_VALUE"""),"00507")</f>
        <v>00507</v>
      </c>
      <c r="T673" s="2">
        <f ca="1">IFERROR(__xludf.DUMMYFUNCTION("""COMPUTED_VALUE"""),2024)</f>
        <v>2024</v>
      </c>
      <c r="U673" s="2" t="str">
        <f ca="1">IFERROR(__xludf.DUMMYFUNCTION("""COMPUTED_VALUE"""),"0854")</f>
        <v>0854</v>
      </c>
      <c r="V673" s="2" t="str">
        <f ca="1">IFERROR(__xludf.DUMMYFUNCTION("""COMPUTED_VALUE"""),"18.001.0004.0121.0140.2023.33.90.33")</f>
        <v>18.001.0004.0121.0140.2023.33.90.33</v>
      </c>
      <c r="W673" s="2" t="str">
        <f ca="1">IFERROR(__xludf.DUMMYFUNCTION("""COMPUTED_VALUE"""),"0")</f>
        <v>0</v>
      </c>
      <c r="X673" s="2"/>
      <c r="Y673" s="2"/>
      <c r="Z673" s="2"/>
      <c r="AA673" s="2"/>
      <c r="AB673" s="2"/>
      <c r="AC673" s="2"/>
      <c r="AD673" s="2"/>
      <c r="AE673" s="2"/>
      <c r="AF673" s="2"/>
    </row>
    <row r="674" spans="1:32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>
        <f ca="1">IFERROR(__xludf.DUMMYFUNCTION("""COMPUTED_VALUE"""),2023)</f>
        <v>2023</v>
      </c>
      <c r="Q674" s="2" t="str">
        <f ca="1">IFERROR(__xludf.DUMMYFUNCTION("""COMPUTED_VALUE"""),"0741")</f>
        <v>0741</v>
      </c>
      <c r="R674" s="2" t="str">
        <f ca="1">IFERROR(__xludf.DUMMYFUNCTION("""COMPUTED_VALUE"""),"10.001.0004.0122.0123.1039.44.90.30")</f>
        <v>10.001.0004.0122.0123.1039.44.90.30</v>
      </c>
      <c r="S674" s="2" t="str">
        <f ca="1">IFERROR(__xludf.DUMMYFUNCTION("""COMPUTED_VALUE"""),"0000")</f>
        <v>0000</v>
      </c>
      <c r="T674" s="2">
        <f ca="1">IFERROR(__xludf.DUMMYFUNCTION("""COMPUTED_VALUE"""),2024)</f>
        <v>2024</v>
      </c>
      <c r="U674" s="2" t="str">
        <f ca="1">IFERROR(__xludf.DUMMYFUNCTION("""COMPUTED_VALUE"""),"0857")</f>
        <v>0857</v>
      </c>
      <c r="V674" s="2" t="str">
        <f ca="1">IFERROR(__xludf.DUMMYFUNCTION("""COMPUTED_VALUE"""),"18.001.0004.0121.0140.2023.33.90.35")</f>
        <v>18.001.0004.0121.0140.2023.33.90.35</v>
      </c>
      <c r="W674" s="2" t="str">
        <f ca="1">IFERROR(__xludf.DUMMYFUNCTION("""COMPUTED_VALUE"""),"0")</f>
        <v>0</v>
      </c>
      <c r="X674" s="2"/>
      <c r="Y674" s="2"/>
      <c r="Z674" s="2"/>
      <c r="AA674" s="2"/>
      <c r="AB674" s="2"/>
      <c r="AC674" s="2"/>
      <c r="AD674" s="2"/>
      <c r="AE674" s="2"/>
      <c r="AF674" s="2"/>
    </row>
    <row r="675" spans="1:32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>
        <f ca="1">IFERROR(__xludf.DUMMYFUNCTION("""COMPUTED_VALUE"""),2023)</f>
        <v>2023</v>
      </c>
      <c r="Q675" s="2" t="str">
        <f ca="1">IFERROR(__xludf.DUMMYFUNCTION("""COMPUTED_VALUE"""),"0742")</f>
        <v>0742</v>
      </c>
      <c r="R675" s="2" t="str">
        <f ca="1">IFERROR(__xludf.DUMMYFUNCTION("""COMPUTED_VALUE"""),"10.006.0018.0541.0123.1041.44.90.30")</f>
        <v>10.006.0018.0541.0123.1041.44.90.30</v>
      </c>
      <c r="S675" s="2" t="str">
        <f ca="1">IFERROR(__xludf.DUMMYFUNCTION("""COMPUTED_VALUE"""),"00555")</f>
        <v>00555</v>
      </c>
      <c r="T675" s="2">
        <f ca="1">IFERROR(__xludf.DUMMYFUNCTION("""COMPUTED_VALUE"""),2024)</f>
        <v>2024</v>
      </c>
      <c r="U675" s="2" t="str">
        <f ca="1">IFERROR(__xludf.DUMMYFUNCTION("""COMPUTED_VALUE"""),"0858")</f>
        <v>0858</v>
      </c>
      <c r="V675" s="2" t="str">
        <f ca="1">IFERROR(__xludf.DUMMYFUNCTION("""COMPUTED_VALUE"""),"18.001.0004.0121.0140.2023.33.90.36")</f>
        <v>18.001.0004.0121.0140.2023.33.90.36</v>
      </c>
      <c r="W675" s="2" t="str">
        <f ca="1">IFERROR(__xludf.DUMMYFUNCTION("""COMPUTED_VALUE"""),"0")</f>
        <v>0</v>
      </c>
      <c r="X675" s="2"/>
      <c r="Y675" s="2"/>
      <c r="Z675" s="2"/>
      <c r="AA675" s="2"/>
      <c r="AB675" s="2"/>
      <c r="AC675" s="2"/>
      <c r="AD675" s="2"/>
      <c r="AE675" s="2"/>
      <c r="AF675" s="2"/>
    </row>
    <row r="676" spans="1:32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>
        <f ca="1">IFERROR(__xludf.DUMMYFUNCTION("""COMPUTED_VALUE"""),2023)</f>
        <v>2023</v>
      </c>
      <c r="Q676" s="2" t="str">
        <f ca="1">IFERROR(__xludf.DUMMYFUNCTION("""COMPUTED_VALUE"""),"0743")</f>
        <v>0743</v>
      </c>
      <c r="R676" s="2" t="str">
        <f ca="1">IFERROR(__xludf.DUMMYFUNCTION("""COMPUTED_VALUE"""),"10.007.0018.0541.0123.1042.44.90.30")</f>
        <v>10.007.0018.0541.0123.1042.44.90.30</v>
      </c>
      <c r="S676" s="2" t="str">
        <f ca="1">IFERROR(__xludf.DUMMYFUNCTION("""COMPUTED_VALUE"""),"00555")</f>
        <v>00555</v>
      </c>
      <c r="T676" s="2">
        <f ca="1">IFERROR(__xludf.DUMMYFUNCTION("""COMPUTED_VALUE"""),2024)</f>
        <v>2024</v>
      </c>
      <c r="U676" s="2" t="str">
        <f ca="1">IFERROR(__xludf.DUMMYFUNCTION("""COMPUTED_VALUE"""),"1185")</f>
        <v>1185</v>
      </c>
      <c r="V676" s="2" t="str">
        <f ca="1">IFERROR(__xludf.DUMMYFUNCTION("""COMPUTED_VALUE"""),"18.001.0004.0121.0140.2023.33.90.36")</f>
        <v>18.001.0004.0121.0140.2023.33.90.36</v>
      </c>
      <c r="W676" s="2" t="str">
        <f ca="1">IFERROR(__xludf.DUMMYFUNCTION("""COMPUTED_VALUE"""),"0")</f>
        <v>0</v>
      </c>
      <c r="X676" s="2"/>
      <c r="Y676" s="2"/>
      <c r="Z676" s="2"/>
      <c r="AA676" s="2"/>
      <c r="AB676" s="2"/>
      <c r="AC676" s="2"/>
      <c r="AD676" s="2"/>
      <c r="AE676" s="2"/>
      <c r="AF676" s="2"/>
    </row>
    <row r="677" spans="1:32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>
        <f ca="1">IFERROR(__xludf.DUMMYFUNCTION("""COMPUTED_VALUE"""),2023)</f>
        <v>2023</v>
      </c>
      <c r="Q677" s="2" t="str">
        <f ca="1">IFERROR(__xludf.DUMMYFUNCTION("""COMPUTED_VALUE"""),"0744")</f>
        <v>0744</v>
      </c>
      <c r="R677" s="2" t="str">
        <f ca="1">IFERROR(__xludf.DUMMYFUNCTION("""COMPUTED_VALUE"""),"10.004.0018.0541.0123.1200.44.90.30")</f>
        <v>10.004.0018.0541.0123.1200.44.90.30</v>
      </c>
      <c r="S677" s="2" t="str">
        <f ca="1">IFERROR(__xludf.DUMMYFUNCTION("""COMPUTED_VALUE"""),"0000")</f>
        <v>0000</v>
      </c>
      <c r="T677" s="2">
        <f ca="1">IFERROR(__xludf.DUMMYFUNCTION("""COMPUTED_VALUE"""),2024)</f>
        <v>2024</v>
      </c>
      <c r="U677" s="2" t="str">
        <f ca="1">IFERROR(__xludf.DUMMYFUNCTION("""COMPUTED_VALUE"""),"0865")</f>
        <v>0865</v>
      </c>
      <c r="V677" s="2" t="str">
        <f ca="1">IFERROR(__xludf.DUMMYFUNCTION("""COMPUTED_VALUE"""),"18.001.0004.0121.0140.2023.33.90.37")</f>
        <v>18.001.0004.0121.0140.2023.33.90.37</v>
      </c>
      <c r="W677" s="2" t="str">
        <f ca="1">IFERROR(__xludf.DUMMYFUNCTION("""COMPUTED_VALUE"""),"509")</f>
        <v>509</v>
      </c>
      <c r="X677" s="2"/>
      <c r="Y677" s="2"/>
      <c r="Z677" s="2"/>
      <c r="AA677" s="2"/>
      <c r="AB677" s="2"/>
      <c r="AC677" s="2"/>
      <c r="AD677" s="2"/>
      <c r="AE677" s="2"/>
      <c r="AF677" s="2"/>
    </row>
    <row r="678" spans="1:32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>
        <f ca="1">IFERROR(__xludf.DUMMYFUNCTION("""COMPUTED_VALUE"""),2023)</f>
        <v>2023</v>
      </c>
      <c r="Q678" s="2" t="str">
        <f ca="1">IFERROR(__xludf.DUMMYFUNCTION("""COMPUTED_VALUE"""),"0745")</f>
        <v>0745</v>
      </c>
      <c r="R678" s="2" t="str">
        <f ca="1">IFERROR(__xludf.DUMMYFUNCTION("""COMPUTED_VALUE"""),"05.001.0012.0361.0074.6012.44.90.39")</f>
        <v>05.001.0012.0361.0074.6012.44.90.39</v>
      </c>
      <c r="S678" s="2" t="str">
        <f ca="1">IFERROR(__xludf.DUMMYFUNCTION("""COMPUTED_VALUE"""),"00107")</f>
        <v>00107</v>
      </c>
      <c r="T678" s="2">
        <f ca="1">IFERROR(__xludf.DUMMYFUNCTION("""COMPUTED_VALUE"""),2024)</f>
        <v>2024</v>
      </c>
      <c r="U678" s="2" t="str">
        <f ca="1">IFERROR(__xludf.DUMMYFUNCTION("""COMPUTED_VALUE"""),"0860")</f>
        <v>0860</v>
      </c>
      <c r="V678" s="2" t="str">
        <f ca="1">IFERROR(__xludf.DUMMYFUNCTION("""COMPUTED_VALUE"""),"18.001.0004.0121.0140.2023.33.90.39")</f>
        <v>18.001.0004.0121.0140.2023.33.90.39</v>
      </c>
      <c r="W678" s="2" t="str">
        <f ca="1">IFERROR(__xludf.DUMMYFUNCTION("""COMPUTED_VALUE"""),"0")</f>
        <v>0</v>
      </c>
      <c r="X678" s="2"/>
      <c r="Y678" s="2"/>
      <c r="Z678" s="2"/>
      <c r="AA678" s="2"/>
      <c r="AB678" s="2"/>
      <c r="AC678" s="2"/>
      <c r="AD678" s="2"/>
      <c r="AE678" s="2"/>
      <c r="AF678" s="2"/>
    </row>
    <row r="679" spans="1:32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>
        <f ca="1">IFERROR(__xludf.DUMMYFUNCTION("""COMPUTED_VALUE"""),2023)</f>
        <v>2023</v>
      </c>
      <c r="Q679" s="2" t="str">
        <f ca="1">IFERROR(__xludf.DUMMYFUNCTION("""COMPUTED_VALUE"""),"0746")</f>
        <v>0746</v>
      </c>
      <c r="R679" s="2" t="str">
        <f ca="1">IFERROR(__xludf.DUMMYFUNCTION("""COMPUTED_VALUE"""),"05.001.0012.0361.0074.6018.44.90.39")</f>
        <v>05.001.0012.0361.0074.6018.44.90.39</v>
      </c>
      <c r="S679" s="2" t="str">
        <f ca="1">IFERROR(__xludf.DUMMYFUNCTION("""COMPUTED_VALUE"""),"00104")</f>
        <v>00104</v>
      </c>
      <c r="T679" s="2">
        <f ca="1">IFERROR(__xludf.DUMMYFUNCTION("""COMPUTED_VALUE"""),2024)</f>
        <v>2024</v>
      </c>
      <c r="U679" s="2" t="str">
        <f ca="1">IFERROR(__xludf.DUMMYFUNCTION("""COMPUTED_VALUE"""),"0861")</f>
        <v>0861</v>
      </c>
      <c r="V679" s="2" t="str">
        <f ca="1">IFERROR(__xludf.DUMMYFUNCTION("""COMPUTED_VALUE"""),"18.001.0004.0121.0140.2023.33.90.39")</f>
        <v>18.001.0004.0121.0140.2023.33.90.39</v>
      </c>
      <c r="W679" s="2" t="str">
        <f ca="1">IFERROR(__xludf.DUMMYFUNCTION("""COMPUTED_VALUE"""),"0")</f>
        <v>0</v>
      </c>
      <c r="X679" s="2"/>
      <c r="Y679" s="2"/>
      <c r="Z679" s="2"/>
      <c r="AA679" s="2"/>
      <c r="AB679" s="2"/>
      <c r="AC679" s="2"/>
      <c r="AD679" s="2"/>
      <c r="AE679" s="2"/>
      <c r="AF679" s="2"/>
    </row>
    <row r="680" spans="1:32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>
        <f ca="1">IFERROR(__xludf.DUMMYFUNCTION("""COMPUTED_VALUE"""),2023)</f>
        <v>2023</v>
      </c>
      <c r="Q680" s="2" t="str">
        <f ca="1">IFERROR(__xludf.DUMMYFUNCTION("""COMPUTED_VALUE"""),"0747")</f>
        <v>0747</v>
      </c>
      <c r="R680" s="2" t="str">
        <f ca="1">IFERROR(__xludf.DUMMYFUNCTION("""COMPUTED_VALUE"""),"11.002.0013.0392.0082.1003.44.90.39")</f>
        <v>11.002.0013.0392.0082.1003.44.90.39</v>
      </c>
      <c r="S680" s="2" t="str">
        <f ca="1">IFERROR(__xludf.DUMMYFUNCTION("""COMPUTED_VALUE"""),"0000")</f>
        <v>0000</v>
      </c>
      <c r="T680" s="2">
        <f ca="1">IFERROR(__xludf.DUMMYFUNCTION("""COMPUTED_VALUE"""),2024)</f>
        <v>2024</v>
      </c>
      <c r="U680" s="2" t="str">
        <f ca="1">IFERROR(__xludf.DUMMYFUNCTION("""COMPUTED_VALUE"""),"0866")</f>
        <v>0866</v>
      </c>
      <c r="V680" s="2" t="str">
        <f ca="1">IFERROR(__xludf.DUMMYFUNCTION("""COMPUTED_VALUE"""),"18.001.0004.0121.0140.2023.33.90.40")</f>
        <v>18.001.0004.0121.0140.2023.33.90.40</v>
      </c>
      <c r="W680" s="2" t="str">
        <f ca="1">IFERROR(__xludf.DUMMYFUNCTION("""COMPUTED_VALUE"""),"509")</f>
        <v>509</v>
      </c>
      <c r="X680" s="2"/>
      <c r="Y680" s="2"/>
      <c r="Z680" s="2"/>
      <c r="AA680" s="2"/>
      <c r="AB680" s="2"/>
      <c r="AC680" s="2"/>
      <c r="AD680" s="2"/>
      <c r="AE680" s="2"/>
      <c r="AF680" s="2"/>
    </row>
    <row r="681" spans="1:32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>
        <f ca="1">IFERROR(__xludf.DUMMYFUNCTION("""COMPUTED_VALUE"""),2023)</f>
        <v>2023</v>
      </c>
      <c r="Q681" s="2" t="str">
        <f ca="1">IFERROR(__xludf.DUMMYFUNCTION("""COMPUTED_VALUE"""),"0748")</f>
        <v>0748</v>
      </c>
      <c r="R681" s="2" t="str">
        <f ca="1">IFERROR(__xludf.DUMMYFUNCTION("""COMPUTED_VALUE"""),"11.003.0027.0812.0083.1005.44.90.39")</f>
        <v>11.003.0027.0812.0083.1005.44.90.39</v>
      </c>
      <c r="S681" s="2" t="str">
        <f ca="1">IFERROR(__xludf.DUMMYFUNCTION("""COMPUTED_VALUE"""),"0000")</f>
        <v>0000</v>
      </c>
      <c r="T681" s="2">
        <f ca="1">IFERROR(__xludf.DUMMYFUNCTION("""COMPUTED_VALUE"""),2024)</f>
        <v>2024</v>
      </c>
      <c r="U681" s="2" t="str">
        <f ca="1">IFERROR(__xludf.DUMMYFUNCTION("""COMPUTED_VALUE"""),"0862")</f>
        <v>0862</v>
      </c>
      <c r="V681" s="2" t="str">
        <f ca="1">IFERROR(__xludf.DUMMYFUNCTION("""COMPUTED_VALUE"""),"18.001.0004.0121.0140.2023.33.90.40")</f>
        <v>18.001.0004.0121.0140.2023.33.90.40</v>
      </c>
      <c r="W681" s="2" t="str">
        <f ca="1">IFERROR(__xludf.DUMMYFUNCTION("""COMPUTED_VALUE"""),"0")</f>
        <v>0</v>
      </c>
      <c r="X681" s="2"/>
      <c r="Y681" s="2"/>
      <c r="Z681" s="2"/>
      <c r="AA681" s="2"/>
      <c r="AB681" s="2"/>
      <c r="AC681" s="2"/>
      <c r="AD681" s="2"/>
      <c r="AE681" s="2"/>
      <c r="AF681" s="2"/>
    </row>
    <row r="682" spans="1:3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>
        <f ca="1">IFERROR(__xludf.DUMMYFUNCTION("""COMPUTED_VALUE"""),2023)</f>
        <v>2023</v>
      </c>
      <c r="Q682" s="2" t="str">
        <f ca="1">IFERROR(__xludf.DUMMYFUNCTION("""COMPUTED_VALUE"""),"0749")</f>
        <v>0749</v>
      </c>
      <c r="R682" s="2" t="str">
        <f ca="1">IFERROR(__xludf.DUMMYFUNCTION("""COMPUTED_VALUE"""),"06.001.0010.0301.0094.1015.44.90.39")</f>
        <v>06.001.0010.0301.0094.1015.44.90.39</v>
      </c>
      <c r="S682" s="2" t="str">
        <f ca="1">IFERROR(__xludf.DUMMYFUNCTION("""COMPUTED_VALUE"""),"00303")</f>
        <v>00303</v>
      </c>
      <c r="T682" s="2">
        <f ca="1">IFERROR(__xludf.DUMMYFUNCTION("""COMPUTED_VALUE"""),2024)</f>
        <v>2024</v>
      </c>
      <c r="U682" s="2" t="str">
        <f ca="1">IFERROR(__xludf.DUMMYFUNCTION("""COMPUTED_VALUE"""),"0867")</f>
        <v>0867</v>
      </c>
      <c r="V682" s="2" t="str">
        <f ca="1">IFERROR(__xludf.DUMMYFUNCTION("""COMPUTED_VALUE"""),"18.004.0006.0181.0140.1073.44.90.51")</f>
        <v>18.004.0006.0181.0140.1073.44.90.51</v>
      </c>
      <c r="W682" s="2" t="str">
        <f ca="1">IFERROR(__xludf.DUMMYFUNCTION("""COMPUTED_VALUE"""),"509")</f>
        <v>509</v>
      </c>
      <c r="X682" s="2"/>
      <c r="Y682" s="2"/>
      <c r="Z682" s="2"/>
      <c r="AA682" s="2"/>
      <c r="AB682" s="2"/>
      <c r="AC682" s="2"/>
      <c r="AD682" s="2"/>
      <c r="AE682" s="2"/>
      <c r="AF682" s="2"/>
    </row>
    <row r="683" spans="1:32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>
        <f ca="1">IFERROR(__xludf.DUMMYFUNCTION("""COMPUTED_VALUE"""),2023)</f>
        <v>2023</v>
      </c>
      <c r="Q683" s="2" t="str">
        <f ca="1">IFERROR(__xludf.DUMMYFUNCTION("""COMPUTED_VALUE"""),"0750")</f>
        <v>0750</v>
      </c>
      <c r="R683" s="2" t="str">
        <f ca="1">IFERROR(__xludf.DUMMYFUNCTION("""COMPUTED_VALUE"""),"06.001.0010.0305.0094.1018.44.90.39")</f>
        <v>06.001.0010.0305.0094.1018.44.90.39</v>
      </c>
      <c r="S683" s="2" t="str">
        <f ca="1">IFERROR(__xludf.DUMMYFUNCTION("""COMPUTED_VALUE"""),"00303")</f>
        <v>00303</v>
      </c>
      <c r="T683" s="2">
        <f ca="1">IFERROR(__xludf.DUMMYFUNCTION("""COMPUTED_VALUE"""),2024)</f>
        <v>2024</v>
      </c>
      <c r="U683" s="2" t="str">
        <f ca="1">IFERROR(__xludf.DUMMYFUNCTION("""COMPUTED_VALUE"""),"0944")</f>
        <v>0944</v>
      </c>
      <c r="V683" s="2" t="str">
        <f ca="1">IFERROR(__xludf.DUMMYFUNCTION("""COMPUTED_VALUE"""),"18.004.0006.0181.0140.1073.44.90.52")</f>
        <v>18.004.0006.0181.0140.1073.44.90.52</v>
      </c>
      <c r="W683" s="2" t="str">
        <f ca="1">IFERROR(__xludf.DUMMYFUNCTION("""COMPUTED_VALUE"""),"0")</f>
        <v>0</v>
      </c>
      <c r="X683" s="2"/>
      <c r="Y683" s="2"/>
      <c r="Z683" s="2"/>
      <c r="AA683" s="2"/>
      <c r="AB683" s="2"/>
      <c r="AC683" s="2"/>
      <c r="AD683" s="2"/>
      <c r="AE683" s="2"/>
      <c r="AF683" s="2"/>
    </row>
    <row r="684" spans="1:32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>
        <f ca="1">IFERROR(__xludf.DUMMYFUNCTION("""COMPUTED_VALUE"""),2023)</f>
        <v>2023</v>
      </c>
      <c r="Q684" s="2" t="str">
        <f ca="1">IFERROR(__xludf.DUMMYFUNCTION("""COMPUTED_VALUE"""),"0751")</f>
        <v>0751</v>
      </c>
      <c r="R684" s="2" t="str">
        <f ca="1">IFERROR(__xludf.DUMMYFUNCTION("""COMPUTED_VALUE"""),"06.001.0010.0301.0094.1019.44.90.39")</f>
        <v>06.001.0010.0301.0094.1019.44.90.39</v>
      </c>
      <c r="S684" s="2" t="str">
        <f ca="1">IFERROR(__xludf.DUMMYFUNCTION("""COMPUTED_VALUE"""),"00303")</f>
        <v>00303</v>
      </c>
      <c r="T684" s="2">
        <f ca="1">IFERROR(__xludf.DUMMYFUNCTION("""COMPUTED_VALUE"""),2024)</f>
        <v>2024</v>
      </c>
      <c r="U684" s="2" t="str">
        <f ca="1">IFERROR(__xludf.DUMMYFUNCTION("""COMPUTED_VALUE"""),"0945")</f>
        <v>0945</v>
      </c>
      <c r="V684" s="2" t="str">
        <f ca="1">IFERROR(__xludf.DUMMYFUNCTION("""COMPUTED_VALUE"""),"18.004.0006.0181.0140.2142.33.90.14")</f>
        <v>18.004.0006.0181.0140.2142.33.90.14</v>
      </c>
      <c r="W684" s="2" t="str">
        <f ca="1">IFERROR(__xludf.DUMMYFUNCTION("""COMPUTED_VALUE"""),"0")</f>
        <v>0</v>
      </c>
      <c r="X684" s="2"/>
      <c r="Y684" s="2"/>
      <c r="Z684" s="2"/>
      <c r="AA684" s="2"/>
      <c r="AB684" s="2"/>
      <c r="AC684" s="2"/>
      <c r="AD684" s="2"/>
      <c r="AE684" s="2"/>
      <c r="AF684" s="2"/>
    </row>
    <row r="685" spans="1:32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>
        <f ca="1">IFERROR(__xludf.DUMMYFUNCTION("""COMPUTED_VALUE"""),2023)</f>
        <v>2023</v>
      </c>
      <c r="Q685" s="2" t="str">
        <f ca="1">IFERROR(__xludf.DUMMYFUNCTION("""COMPUTED_VALUE"""),"0752")</f>
        <v>0752</v>
      </c>
      <c r="R685" s="2" t="str">
        <f ca="1">IFERROR(__xludf.DUMMYFUNCTION("""COMPUTED_VALUE"""),"06.001.0010.0302.0094.1020.44.90.39")</f>
        <v>06.001.0010.0302.0094.1020.44.90.39</v>
      </c>
      <c r="S685" s="2" t="str">
        <f ca="1">IFERROR(__xludf.DUMMYFUNCTION("""COMPUTED_VALUE"""),"00303")</f>
        <v>00303</v>
      </c>
      <c r="T685" s="2">
        <f ca="1">IFERROR(__xludf.DUMMYFUNCTION("""COMPUTED_VALUE"""),2024)</f>
        <v>2024</v>
      </c>
      <c r="U685" s="2" t="str">
        <f ca="1">IFERROR(__xludf.DUMMYFUNCTION("""COMPUTED_VALUE"""),"0948")</f>
        <v>0948</v>
      </c>
      <c r="V685" s="2" t="str">
        <f ca="1">IFERROR(__xludf.DUMMYFUNCTION("""COMPUTED_VALUE"""),"18.004.0006.0181.0140.2142.33.90.30")</f>
        <v>18.004.0006.0181.0140.2142.33.90.30</v>
      </c>
      <c r="W685" s="2" t="str">
        <f ca="1">IFERROR(__xludf.DUMMYFUNCTION("""COMPUTED_VALUE"""),"0")</f>
        <v>0</v>
      </c>
      <c r="X685" s="2"/>
      <c r="Y685" s="2"/>
      <c r="Z685" s="2"/>
      <c r="AA685" s="2"/>
      <c r="AB685" s="2"/>
      <c r="AC685" s="2"/>
      <c r="AD685" s="2"/>
      <c r="AE685" s="2"/>
      <c r="AF685" s="2"/>
    </row>
    <row r="686" spans="1:32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>
        <f ca="1">IFERROR(__xludf.DUMMYFUNCTION("""COMPUTED_VALUE"""),2023)</f>
        <v>2023</v>
      </c>
      <c r="Q686" s="2" t="str">
        <f ca="1">IFERROR(__xludf.DUMMYFUNCTION("""COMPUTED_VALUE"""),"0753")</f>
        <v>0753</v>
      </c>
      <c r="R686" s="2" t="str">
        <f ca="1">IFERROR(__xludf.DUMMYFUNCTION("""COMPUTED_VALUE"""),"06.001.0010.0302.0094.1021.44.90.39")</f>
        <v>06.001.0010.0302.0094.1021.44.90.39</v>
      </c>
      <c r="S686" s="2" t="str">
        <f ca="1">IFERROR(__xludf.DUMMYFUNCTION("""COMPUTED_VALUE"""),"00303")</f>
        <v>00303</v>
      </c>
      <c r="T686" s="2">
        <f ca="1">IFERROR(__xludf.DUMMYFUNCTION("""COMPUTED_VALUE"""),2024)</f>
        <v>2024</v>
      </c>
      <c r="U686" s="2" t="str">
        <f ca="1">IFERROR(__xludf.DUMMYFUNCTION("""COMPUTED_VALUE"""),"0949")</f>
        <v>0949</v>
      </c>
      <c r="V686" s="2" t="str">
        <f ca="1">IFERROR(__xludf.DUMMYFUNCTION("""COMPUTED_VALUE"""),"18.004.0006.0181.0140.2142.33.90.31")</f>
        <v>18.004.0006.0181.0140.2142.33.90.31</v>
      </c>
      <c r="W686" s="2" t="str">
        <f ca="1">IFERROR(__xludf.DUMMYFUNCTION("""COMPUTED_VALUE"""),"0")</f>
        <v>0</v>
      </c>
      <c r="X686" s="2"/>
      <c r="Y686" s="2"/>
      <c r="Z686" s="2"/>
      <c r="AA686" s="2"/>
      <c r="AB686" s="2"/>
      <c r="AC686" s="2"/>
      <c r="AD686" s="2"/>
      <c r="AE686" s="2"/>
      <c r="AF686" s="2"/>
    </row>
    <row r="687" spans="1:32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>
        <f ca="1">IFERROR(__xludf.DUMMYFUNCTION("""COMPUTED_VALUE"""),2023)</f>
        <v>2023</v>
      </c>
      <c r="Q687" s="2" t="str">
        <f ca="1">IFERROR(__xludf.DUMMYFUNCTION("""COMPUTED_VALUE"""),"0754")</f>
        <v>0754</v>
      </c>
      <c r="R687" s="2" t="str">
        <f ca="1">IFERROR(__xludf.DUMMYFUNCTION("""COMPUTED_VALUE"""),"06.001.0010.0301.0094.1023.44.90.39")</f>
        <v>06.001.0010.0301.0094.1023.44.90.39</v>
      </c>
      <c r="S687" s="2" t="str">
        <f ca="1">IFERROR(__xludf.DUMMYFUNCTION("""COMPUTED_VALUE"""),"00303")</f>
        <v>00303</v>
      </c>
      <c r="T687" s="2">
        <f ca="1">IFERROR(__xludf.DUMMYFUNCTION("""COMPUTED_VALUE"""),2024)</f>
        <v>2024</v>
      </c>
      <c r="U687" s="2" t="str">
        <f ca="1">IFERROR(__xludf.DUMMYFUNCTION("""COMPUTED_VALUE"""),"0950")</f>
        <v>0950</v>
      </c>
      <c r="V687" s="2" t="str">
        <f ca="1">IFERROR(__xludf.DUMMYFUNCTION("""COMPUTED_VALUE"""),"18.004.0006.0181.0140.2142.33.90.32")</f>
        <v>18.004.0006.0181.0140.2142.33.90.32</v>
      </c>
      <c r="W687" s="2" t="str">
        <f ca="1">IFERROR(__xludf.DUMMYFUNCTION("""COMPUTED_VALUE"""),"0")</f>
        <v>0</v>
      </c>
      <c r="X687" s="2"/>
      <c r="Y687" s="2"/>
      <c r="Z687" s="2"/>
      <c r="AA687" s="2"/>
      <c r="AB687" s="2"/>
      <c r="AC687" s="2"/>
      <c r="AD687" s="2"/>
      <c r="AE687" s="2"/>
      <c r="AF687" s="2"/>
    </row>
    <row r="688" spans="1:32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>
        <f ca="1">IFERROR(__xludf.DUMMYFUNCTION("""COMPUTED_VALUE"""),2023)</f>
        <v>2023</v>
      </c>
      <c r="Q688" s="2" t="str">
        <f ca="1">IFERROR(__xludf.DUMMYFUNCTION("""COMPUTED_VALUE"""),"0755")</f>
        <v>0755</v>
      </c>
      <c r="R688" s="2" t="str">
        <f ca="1">IFERROR(__xludf.DUMMYFUNCTION("""COMPUTED_VALUE"""),"07.002.0015.0451.0104.1046.44.90.39")</f>
        <v>07.002.0015.0451.0104.1046.44.90.39</v>
      </c>
      <c r="S688" s="2" t="str">
        <f ca="1">IFERROR(__xludf.DUMMYFUNCTION("""COMPUTED_VALUE"""),"0000")</f>
        <v>0000</v>
      </c>
      <c r="T688" s="2">
        <f ca="1">IFERROR(__xludf.DUMMYFUNCTION("""COMPUTED_VALUE"""),2024)</f>
        <v>2024</v>
      </c>
      <c r="U688" s="2" t="str">
        <f ca="1">IFERROR(__xludf.DUMMYFUNCTION("""COMPUTED_VALUE"""),"0951")</f>
        <v>0951</v>
      </c>
      <c r="V688" s="2" t="str">
        <f ca="1">IFERROR(__xludf.DUMMYFUNCTION("""COMPUTED_VALUE"""),"18.004.0006.0181.0140.2142.33.90.33")</f>
        <v>18.004.0006.0181.0140.2142.33.90.33</v>
      </c>
      <c r="W688" s="2" t="str">
        <f ca="1">IFERROR(__xludf.DUMMYFUNCTION("""COMPUTED_VALUE"""),"0")</f>
        <v>0</v>
      </c>
      <c r="X688" s="2"/>
      <c r="Y688" s="2"/>
      <c r="Z688" s="2"/>
      <c r="AA688" s="2"/>
      <c r="AB688" s="2"/>
      <c r="AC688" s="2"/>
      <c r="AD688" s="2"/>
      <c r="AE688" s="2"/>
      <c r="AF688" s="2"/>
    </row>
    <row r="689" spans="1:32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>
        <f ca="1">IFERROR(__xludf.DUMMYFUNCTION("""COMPUTED_VALUE"""),2023)</f>
        <v>2023</v>
      </c>
      <c r="Q689" s="2" t="str">
        <f ca="1">IFERROR(__xludf.DUMMYFUNCTION("""COMPUTED_VALUE"""),"0756")</f>
        <v>0756</v>
      </c>
      <c r="R689" s="2" t="str">
        <f ca="1">IFERROR(__xludf.DUMMYFUNCTION("""COMPUTED_VALUE"""),"07.002.0015.0451.0104.1046.44.90.39")</f>
        <v>07.002.0015.0451.0104.1046.44.90.39</v>
      </c>
      <c r="S689" s="2" t="str">
        <f ca="1">IFERROR(__xludf.DUMMYFUNCTION("""COMPUTED_VALUE"""),"00033")</f>
        <v>00033</v>
      </c>
      <c r="T689" s="2">
        <f ca="1">IFERROR(__xludf.DUMMYFUNCTION("""COMPUTED_VALUE"""),2024)</f>
        <v>2024</v>
      </c>
      <c r="U689" s="2" t="str">
        <f ca="1">IFERROR(__xludf.DUMMYFUNCTION("""COMPUTED_VALUE"""),"0952")</f>
        <v>0952</v>
      </c>
      <c r="V689" s="2" t="str">
        <f ca="1">IFERROR(__xludf.DUMMYFUNCTION("""COMPUTED_VALUE"""),"18.004.0006.0181.0140.2142.33.90.39")</f>
        <v>18.004.0006.0181.0140.2142.33.90.39</v>
      </c>
      <c r="W689" s="2" t="str">
        <f ca="1">IFERROR(__xludf.DUMMYFUNCTION("""COMPUTED_VALUE"""),"0")</f>
        <v>0</v>
      </c>
      <c r="X689" s="2"/>
      <c r="Y689" s="2"/>
      <c r="Z689" s="2"/>
      <c r="AA689" s="2"/>
      <c r="AB689" s="2"/>
      <c r="AC689" s="2"/>
      <c r="AD689" s="2"/>
      <c r="AE689" s="2"/>
      <c r="AF689" s="2"/>
    </row>
    <row r="690" spans="1:32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>
        <f ca="1">IFERROR(__xludf.DUMMYFUNCTION("""COMPUTED_VALUE"""),2023)</f>
        <v>2023</v>
      </c>
      <c r="Q690" s="2" t="str">
        <f ca="1">IFERROR(__xludf.DUMMYFUNCTION("""COMPUTED_VALUE"""),"0757")</f>
        <v>0757</v>
      </c>
      <c r="R690" s="2" t="str">
        <f ca="1">IFERROR(__xludf.DUMMYFUNCTION("""COMPUTED_VALUE"""),"07.002.0015.0451.0104.1046.44.90.39")</f>
        <v>07.002.0015.0451.0104.1046.44.90.39</v>
      </c>
      <c r="S690" s="2" t="str">
        <f ca="1">IFERROR(__xludf.DUMMYFUNCTION("""COMPUTED_VALUE"""),"00603")</f>
        <v>00603</v>
      </c>
      <c r="T690" s="2">
        <f ca="1">IFERROR(__xludf.DUMMYFUNCTION("""COMPUTED_VALUE"""),2024)</f>
        <v>2024</v>
      </c>
      <c r="U690" s="2" t="str">
        <f ca="1">IFERROR(__xludf.DUMMYFUNCTION("""COMPUTED_VALUE"""),"0956")</f>
        <v>0956</v>
      </c>
      <c r="V690" s="2" t="str">
        <f ca="1">IFERROR(__xludf.DUMMYFUNCTION("""COMPUTED_VALUE"""),"18.004.0006.0181.0140.2159.31.71.70")</f>
        <v>18.004.0006.0181.0140.2159.31.71.70</v>
      </c>
      <c r="W690" s="2" t="str">
        <f ca="1">IFERROR(__xludf.DUMMYFUNCTION("""COMPUTED_VALUE"""),"0")</f>
        <v>0</v>
      </c>
      <c r="X690" s="2"/>
      <c r="Y690" s="2"/>
      <c r="Z690" s="2"/>
      <c r="AA690" s="2"/>
      <c r="AB690" s="2"/>
      <c r="AC690" s="2"/>
      <c r="AD690" s="2"/>
      <c r="AE690" s="2"/>
      <c r="AF690" s="2"/>
    </row>
    <row r="691" spans="1:32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>
        <f ca="1">IFERROR(__xludf.DUMMYFUNCTION("""COMPUTED_VALUE"""),2023)</f>
        <v>2023</v>
      </c>
      <c r="Q691" s="2" t="str">
        <f ca="1">IFERROR(__xludf.DUMMYFUNCTION("""COMPUTED_VALUE"""),"0758")</f>
        <v>0758</v>
      </c>
      <c r="R691" s="2" t="str">
        <f ca="1">IFERROR(__xludf.DUMMYFUNCTION("""COMPUTED_VALUE"""),"07.003.0015.0452.0104.1051.44.90.39")</f>
        <v>07.003.0015.0452.0104.1051.44.90.39</v>
      </c>
      <c r="S691" s="2" t="str">
        <f ca="1">IFERROR(__xludf.DUMMYFUNCTION("""COMPUTED_VALUE"""),"0000")</f>
        <v>0000</v>
      </c>
      <c r="T691" s="2">
        <f ca="1">IFERROR(__xludf.DUMMYFUNCTION("""COMPUTED_VALUE"""),2024)</f>
        <v>2024</v>
      </c>
      <c r="U691" s="2" t="str">
        <f ca="1">IFERROR(__xludf.DUMMYFUNCTION("""COMPUTED_VALUE"""),"1180")</f>
        <v>1180</v>
      </c>
      <c r="V691" s="2" t="str">
        <f ca="1">IFERROR(__xludf.DUMMYFUNCTION("""COMPUTED_VALUE"""),"18.004.0006.0181.0140.2159.33.71.70")</f>
        <v>18.004.0006.0181.0140.2159.33.71.70</v>
      </c>
      <c r="W691" s="2" t="str">
        <f ca="1">IFERROR(__xludf.DUMMYFUNCTION("""COMPUTED_VALUE"""),"0")</f>
        <v>0</v>
      </c>
      <c r="X691" s="2"/>
      <c r="Y691" s="2"/>
      <c r="Z691" s="2"/>
      <c r="AA691" s="2"/>
      <c r="AB691" s="2"/>
      <c r="AC691" s="2"/>
      <c r="AD691" s="2"/>
      <c r="AE691" s="2"/>
      <c r="AF691" s="2"/>
    </row>
    <row r="692" spans="1:3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>
        <f ca="1">IFERROR(__xludf.DUMMYFUNCTION("""COMPUTED_VALUE"""),2023)</f>
        <v>2023</v>
      </c>
      <c r="Q692" s="2" t="str">
        <f ca="1">IFERROR(__xludf.DUMMYFUNCTION("""COMPUTED_VALUE"""),"0759")</f>
        <v>0759</v>
      </c>
      <c r="R692" s="2" t="str">
        <f ca="1">IFERROR(__xludf.DUMMYFUNCTION("""COMPUTED_VALUE"""),"07.003.0015.0452.0107.1045.44.90.39")</f>
        <v>07.003.0015.0452.0107.1045.44.90.39</v>
      </c>
      <c r="S692" s="2" t="str">
        <f ca="1">IFERROR(__xludf.DUMMYFUNCTION("""COMPUTED_VALUE"""),"0000")</f>
        <v>0000</v>
      </c>
      <c r="T692" s="2">
        <f ca="1">IFERROR(__xludf.DUMMYFUNCTION("""COMPUTED_VALUE"""),2024)</f>
        <v>2024</v>
      </c>
      <c r="U692" s="2" t="str">
        <f ca="1">IFERROR(__xludf.DUMMYFUNCTION("""COMPUTED_VALUE"""),"1181")</f>
        <v>1181</v>
      </c>
      <c r="V692" s="2" t="str">
        <f ca="1">IFERROR(__xludf.DUMMYFUNCTION("""COMPUTED_VALUE"""),"18.004.0006.0181.0140.2159.33.72.39")</f>
        <v>18.004.0006.0181.0140.2159.33.72.39</v>
      </c>
      <c r="W692" s="2" t="str">
        <f ca="1">IFERROR(__xludf.DUMMYFUNCTION("""COMPUTED_VALUE"""),"0")</f>
        <v>0</v>
      </c>
      <c r="X692" s="2"/>
      <c r="Y692" s="2"/>
      <c r="Z692" s="2"/>
      <c r="AA692" s="2"/>
      <c r="AB692" s="2"/>
      <c r="AC692" s="2"/>
      <c r="AD692" s="2"/>
      <c r="AE692" s="2"/>
      <c r="AF692" s="2"/>
    </row>
    <row r="693" spans="1:32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>
        <f ca="1">IFERROR(__xludf.DUMMYFUNCTION("""COMPUTED_VALUE"""),2023)</f>
        <v>2023</v>
      </c>
      <c r="Q693" s="2" t="str">
        <f ca="1">IFERROR(__xludf.DUMMYFUNCTION("""COMPUTED_VALUE"""),"0760")</f>
        <v>0760</v>
      </c>
      <c r="R693" s="2" t="str">
        <f ca="1">IFERROR(__xludf.DUMMYFUNCTION("""COMPUTED_VALUE"""),"07.003.0015.0452.0107.1045.44.90.39")</f>
        <v>07.003.0015.0452.0107.1045.44.90.39</v>
      </c>
      <c r="S693" s="2" t="str">
        <f ca="1">IFERROR(__xludf.DUMMYFUNCTION("""COMPUTED_VALUE"""),"00507")</f>
        <v>00507</v>
      </c>
      <c r="T693" s="2">
        <f ca="1">IFERROR(__xludf.DUMMYFUNCTION("""COMPUTED_VALUE"""),2024)</f>
        <v>2024</v>
      </c>
      <c r="U693" s="2" t="str">
        <f ca="1">IFERROR(__xludf.DUMMYFUNCTION("""COMPUTED_VALUE"""),"1182")</f>
        <v>1182</v>
      </c>
      <c r="V693" s="2" t="str">
        <f ca="1">IFERROR(__xludf.DUMMYFUNCTION("""COMPUTED_VALUE"""),"18.004.0006.0181.0140.2159.44.71.70")</f>
        <v>18.004.0006.0181.0140.2159.44.71.70</v>
      </c>
      <c r="W693" s="2" t="str">
        <f ca="1">IFERROR(__xludf.DUMMYFUNCTION("""COMPUTED_VALUE"""),"0")</f>
        <v>0</v>
      </c>
      <c r="X693" s="2"/>
      <c r="Y693" s="2"/>
      <c r="Z693" s="2"/>
      <c r="AA693" s="2"/>
      <c r="AB693" s="2"/>
      <c r="AC693" s="2"/>
      <c r="AD693" s="2"/>
      <c r="AE693" s="2"/>
      <c r="AF693" s="2"/>
    </row>
    <row r="694" spans="1:32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>
        <f ca="1">IFERROR(__xludf.DUMMYFUNCTION("""COMPUTED_VALUE"""),2023)</f>
        <v>2023</v>
      </c>
      <c r="Q694" s="2" t="str">
        <f ca="1">IFERROR(__xludf.DUMMYFUNCTION("""COMPUTED_VALUE"""),"0761")</f>
        <v>0761</v>
      </c>
      <c r="R694" s="2" t="str">
        <f ca="1">IFERROR(__xludf.DUMMYFUNCTION("""COMPUTED_VALUE"""),"10.006.0018.0541.0123.1041.44.90.39")</f>
        <v>10.006.0018.0541.0123.1041.44.90.39</v>
      </c>
      <c r="S694" s="2" t="str">
        <f ca="1">IFERROR(__xludf.DUMMYFUNCTION("""COMPUTED_VALUE"""),"00555")</f>
        <v>00555</v>
      </c>
      <c r="T694" s="2">
        <f ca="1">IFERROR(__xludf.DUMMYFUNCTION("""COMPUTED_VALUE"""),2024)</f>
        <v>2024</v>
      </c>
      <c r="U694" s="2" t="str">
        <f ca="1">IFERROR(__xludf.DUMMYFUNCTION("""COMPUTED_VALUE"""),"1183")</f>
        <v>1183</v>
      </c>
      <c r="V694" s="2" t="str">
        <f ca="1">IFERROR(__xludf.DUMMYFUNCTION("""COMPUTED_VALUE"""),"18.004.0006.0182.0140.1074.44.90.52")</f>
        <v>18.004.0006.0182.0140.1074.44.90.52</v>
      </c>
      <c r="W694" s="2" t="str">
        <f ca="1">IFERROR(__xludf.DUMMYFUNCTION("""COMPUTED_VALUE"""),"0")</f>
        <v>0</v>
      </c>
      <c r="X694" s="2"/>
      <c r="Y694" s="2"/>
      <c r="Z694" s="2"/>
      <c r="AA694" s="2"/>
      <c r="AB694" s="2"/>
      <c r="AC694" s="2"/>
      <c r="AD694" s="2"/>
      <c r="AE694" s="2"/>
      <c r="AF694" s="2"/>
    </row>
    <row r="695" spans="1:32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>
        <f ca="1">IFERROR(__xludf.DUMMYFUNCTION("""COMPUTED_VALUE"""),2023)</f>
        <v>2023</v>
      </c>
      <c r="Q695" s="2" t="str">
        <f ca="1">IFERROR(__xludf.DUMMYFUNCTION("""COMPUTED_VALUE"""),"0762")</f>
        <v>0762</v>
      </c>
      <c r="R695" s="2" t="str">
        <f ca="1">IFERROR(__xludf.DUMMYFUNCTION("""COMPUTED_VALUE"""),"10.007.0018.0541.0123.1042.44.90.39")</f>
        <v>10.007.0018.0541.0123.1042.44.90.39</v>
      </c>
      <c r="S695" s="2" t="str">
        <f ca="1">IFERROR(__xludf.DUMMYFUNCTION("""COMPUTED_VALUE"""),"00555")</f>
        <v>00555</v>
      </c>
      <c r="T695" s="2">
        <f ca="1">IFERROR(__xludf.DUMMYFUNCTION("""COMPUTED_VALUE"""),2024)</f>
        <v>2024</v>
      </c>
      <c r="U695" s="2" t="str">
        <f ca="1">IFERROR(__xludf.DUMMYFUNCTION("""COMPUTED_VALUE"""),"1186")</f>
        <v>1186</v>
      </c>
      <c r="V695" s="2" t="str">
        <f ca="1">IFERROR(__xludf.DUMMYFUNCTION("""COMPUTED_VALUE"""),"18.004.0006.0182.0140.1075.44.90.52")</f>
        <v>18.004.0006.0182.0140.1075.44.90.52</v>
      </c>
      <c r="W695" s="2" t="str">
        <f ca="1">IFERROR(__xludf.DUMMYFUNCTION("""COMPUTED_VALUE"""),"515")</f>
        <v>515</v>
      </c>
      <c r="X695" s="2"/>
      <c r="Y695" s="2"/>
      <c r="Z695" s="2"/>
      <c r="AA695" s="2"/>
      <c r="AB695" s="2"/>
      <c r="AC695" s="2"/>
      <c r="AD695" s="2"/>
      <c r="AE695" s="2"/>
      <c r="AF695" s="2"/>
    </row>
    <row r="696" spans="1:32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>
        <f ca="1">IFERROR(__xludf.DUMMYFUNCTION("""COMPUTED_VALUE"""),2023)</f>
        <v>2023</v>
      </c>
      <c r="Q696" s="2" t="str">
        <f ca="1">IFERROR(__xludf.DUMMYFUNCTION("""COMPUTED_VALUE"""),"0764")</f>
        <v>0764</v>
      </c>
      <c r="R696" s="2" t="str">
        <f ca="1">IFERROR(__xludf.DUMMYFUNCTION("""COMPUTED_VALUE"""),"05.003.0012.0361.0074.5004.44.90.51")</f>
        <v>05.003.0012.0361.0074.5004.44.90.51</v>
      </c>
      <c r="S696" s="2" t="str">
        <f ca="1">IFERROR(__xludf.DUMMYFUNCTION("""COMPUTED_VALUE"""),"0000")</f>
        <v>0000</v>
      </c>
      <c r="T696" s="2">
        <f ca="1">IFERROR(__xludf.DUMMYFUNCTION("""COMPUTED_VALUE"""),2024)</f>
        <v>2024</v>
      </c>
      <c r="U696" s="2" t="str">
        <f ca="1">IFERROR(__xludf.DUMMYFUNCTION("""COMPUTED_VALUE"""),"0964")</f>
        <v>0964</v>
      </c>
      <c r="V696" s="2" t="str">
        <f ca="1">IFERROR(__xludf.DUMMYFUNCTION("""COMPUTED_VALUE"""),"18.004.0006.0182.0140.2143.33.90.30")</f>
        <v>18.004.0006.0182.0140.2143.33.90.30</v>
      </c>
      <c r="W696" s="2" t="str">
        <f ca="1">IFERROR(__xludf.DUMMYFUNCTION("""COMPUTED_VALUE"""),"515")</f>
        <v>515</v>
      </c>
      <c r="X696" s="2"/>
      <c r="Y696" s="2"/>
      <c r="Z696" s="2"/>
      <c r="AA696" s="2"/>
      <c r="AB696" s="2"/>
      <c r="AC696" s="2"/>
      <c r="AD696" s="2"/>
      <c r="AE696" s="2"/>
      <c r="AF696" s="2"/>
    </row>
    <row r="697" spans="1:32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>
        <f ca="1">IFERROR(__xludf.DUMMYFUNCTION("""COMPUTED_VALUE"""),2023)</f>
        <v>2023</v>
      </c>
      <c r="Q697" s="2" t="str">
        <f ca="1">IFERROR(__xludf.DUMMYFUNCTION("""COMPUTED_VALUE"""),"0765")</f>
        <v>0765</v>
      </c>
      <c r="R697" s="2" t="str">
        <f ca="1">IFERROR(__xludf.DUMMYFUNCTION("""COMPUTED_VALUE"""),"05.003.0012.0361.0074.5004.44.90.51")</f>
        <v>05.003.0012.0361.0074.5004.44.90.51</v>
      </c>
      <c r="S697" s="2" t="str">
        <f ca="1">IFERROR(__xludf.DUMMYFUNCTION("""COMPUTED_VALUE"""),"00102")</f>
        <v>00102</v>
      </c>
      <c r="T697" s="2">
        <f ca="1">IFERROR(__xludf.DUMMYFUNCTION("""COMPUTED_VALUE"""),2024)</f>
        <v>2024</v>
      </c>
      <c r="U697" s="2" t="str">
        <f ca="1">IFERROR(__xludf.DUMMYFUNCTION("""COMPUTED_VALUE"""),"0971")</f>
        <v>0971</v>
      </c>
      <c r="V697" s="2" t="str">
        <f ca="1">IFERROR(__xludf.DUMMYFUNCTION("""COMPUTED_VALUE"""),"18.004.0006.0182.0140.2143.33.90.39")</f>
        <v>18.004.0006.0182.0140.2143.33.90.39</v>
      </c>
      <c r="W697" s="2" t="str">
        <f ca="1">IFERROR(__xludf.DUMMYFUNCTION("""COMPUTED_VALUE"""),"515")</f>
        <v>515</v>
      </c>
      <c r="X697" s="2"/>
      <c r="Y697" s="2"/>
      <c r="Z697" s="2"/>
      <c r="AA697" s="2"/>
      <c r="AB697" s="2"/>
      <c r="AC697" s="2"/>
      <c r="AD697" s="2"/>
      <c r="AE697" s="2"/>
      <c r="AF697" s="2"/>
    </row>
    <row r="698" spans="1:32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>
        <f ca="1">IFERROR(__xludf.DUMMYFUNCTION("""COMPUTED_VALUE"""),2023)</f>
        <v>2023</v>
      </c>
      <c r="Q698" s="2" t="str">
        <f ca="1">IFERROR(__xludf.DUMMYFUNCTION("""COMPUTED_VALUE"""),"0766")</f>
        <v>0766</v>
      </c>
      <c r="R698" s="2" t="str">
        <f ca="1">IFERROR(__xludf.DUMMYFUNCTION("""COMPUTED_VALUE"""),"05.003.0012.0361.0074.5004.44.90.51")</f>
        <v>05.003.0012.0361.0074.5004.44.90.51</v>
      </c>
      <c r="S698" s="2" t="str">
        <f ca="1">IFERROR(__xludf.DUMMYFUNCTION("""COMPUTED_VALUE"""),"00104")</f>
        <v>00104</v>
      </c>
      <c r="T698" s="2">
        <f ca="1">IFERROR(__xludf.DUMMYFUNCTION("""COMPUTED_VALUE"""),2024)</f>
        <v>2024</v>
      </c>
      <c r="U698" s="2" t="str">
        <f ca="1">IFERROR(__xludf.DUMMYFUNCTION("""COMPUTED_VALUE"""),"0972")</f>
        <v>0972</v>
      </c>
      <c r="V698" s="2" t="str">
        <f ca="1">IFERROR(__xludf.DUMMYFUNCTION("""COMPUTED_VALUE"""),"18.004.0006.0182.0140.2144.33.90.30")</f>
        <v>18.004.0006.0182.0140.2144.33.90.30</v>
      </c>
      <c r="W698" s="2" t="str">
        <f ca="1">IFERROR(__xludf.DUMMYFUNCTION("""COMPUTED_VALUE"""),"515")</f>
        <v>515</v>
      </c>
      <c r="X698" s="2"/>
      <c r="Y698" s="2"/>
      <c r="Z698" s="2"/>
      <c r="AA698" s="2"/>
      <c r="AB698" s="2"/>
      <c r="AC698" s="2"/>
      <c r="AD698" s="2"/>
      <c r="AE698" s="2"/>
      <c r="AF698" s="2"/>
    </row>
    <row r="699" spans="1:32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>
        <f ca="1">IFERROR(__xludf.DUMMYFUNCTION("""COMPUTED_VALUE"""),2023)</f>
        <v>2023</v>
      </c>
      <c r="Q699" s="2" t="str">
        <f ca="1">IFERROR(__xludf.DUMMYFUNCTION("""COMPUTED_VALUE"""),"0767")</f>
        <v>0767</v>
      </c>
      <c r="R699" s="2" t="str">
        <f ca="1">IFERROR(__xludf.DUMMYFUNCTION("""COMPUTED_VALUE"""),"05.003.0012.0365.0074.5005.44.90.51")</f>
        <v>05.003.0012.0365.0074.5005.44.90.51</v>
      </c>
      <c r="S699" s="2" t="str">
        <f ca="1">IFERROR(__xludf.DUMMYFUNCTION("""COMPUTED_VALUE"""),"00103")</f>
        <v>00103</v>
      </c>
      <c r="T699" s="2">
        <f ca="1">IFERROR(__xludf.DUMMYFUNCTION("""COMPUTED_VALUE"""),2024)</f>
        <v>2024</v>
      </c>
      <c r="U699" s="2" t="str">
        <f ca="1">IFERROR(__xludf.DUMMYFUNCTION("""COMPUTED_VALUE"""),"0976")</f>
        <v>0976</v>
      </c>
      <c r="V699" s="2" t="str">
        <f ca="1">IFERROR(__xludf.DUMMYFUNCTION("""COMPUTED_VALUE"""),"18.004.0006.0182.0140.2144.33.90.37")</f>
        <v>18.004.0006.0182.0140.2144.33.90.37</v>
      </c>
      <c r="W699" s="2" t="str">
        <f ca="1">IFERROR(__xludf.DUMMYFUNCTION("""COMPUTED_VALUE"""),"515")</f>
        <v>515</v>
      </c>
      <c r="X699" s="2"/>
      <c r="Y699" s="2"/>
      <c r="Z699" s="2"/>
      <c r="AA699" s="2"/>
      <c r="AB699" s="2"/>
      <c r="AC699" s="2"/>
      <c r="AD699" s="2"/>
      <c r="AE699" s="2"/>
      <c r="AF699" s="2"/>
    </row>
    <row r="700" spans="1:32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>
        <f ca="1">IFERROR(__xludf.DUMMYFUNCTION("""COMPUTED_VALUE"""),2023)</f>
        <v>2023</v>
      </c>
      <c r="Q700" s="2" t="str">
        <f ca="1">IFERROR(__xludf.DUMMYFUNCTION("""COMPUTED_VALUE"""),"0768")</f>
        <v>0768</v>
      </c>
      <c r="R700" s="2" t="str">
        <f ca="1">IFERROR(__xludf.DUMMYFUNCTION("""COMPUTED_VALUE"""),"05.003.0012.0365.0074.5005.44.90.51")</f>
        <v>05.003.0012.0365.0074.5005.44.90.51</v>
      </c>
      <c r="S700" s="2" t="str">
        <f ca="1">IFERROR(__xludf.DUMMYFUNCTION("""COMPUTED_VALUE"""),"10181")</f>
        <v>10181</v>
      </c>
      <c r="T700" s="2">
        <f ca="1">IFERROR(__xludf.DUMMYFUNCTION("""COMPUTED_VALUE"""),2024)</f>
        <v>2024</v>
      </c>
      <c r="U700" s="2" t="str">
        <f ca="1">IFERROR(__xludf.DUMMYFUNCTION("""COMPUTED_VALUE"""),"0977")</f>
        <v>0977</v>
      </c>
      <c r="V700" s="2" t="str">
        <f ca="1">IFERROR(__xludf.DUMMYFUNCTION("""COMPUTED_VALUE"""),"18.004.0006.0182.0140.2144.33.90.39")</f>
        <v>18.004.0006.0182.0140.2144.33.90.39</v>
      </c>
      <c r="W700" s="2" t="str">
        <f ca="1">IFERROR(__xludf.DUMMYFUNCTION("""COMPUTED_VALUE"""),"515")</f>
        <v>515</v>
      </c>
      <c r="X700" s="2"/>
      <c r="Y700" s="2"/>
      <c r="Z700" s="2"/>
      <c r="AA700" s="2"/>
      <c r="AB700" s="2"/>
      <c r="AC700" s="2"/>
      <c r="AD700" s="2"/>
      <c r="AE700" s="2"/>
      <c r="AF700" s="2"/>
    </row>
    <row r="701" spans="1:32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>
        <f ca="1">IFERROR(__xludf.DUMMYFUNCTION("""COMPUTED_VALUE"""),2023)</f>
        <v>2023</v>
      </c>
      <c r="Q701" s="2" t="str">
        <f ca="1">IFERROR(__xludf.DUMMYFUNCTION("""COMPUTED_VALUE"""),"0769")</f>
        <v>0769</v>
      </c>
      <c r="R701" s="2" t="str">
        <f ca="1">IFERROR(__xludf.DUMMYFUNCTION("""COMPUTED_VALUE"""),"05.003.0012.0365.0074.5005.44.90.51")</f>
        <v>05.003.0012.0365.0074.5005.44.90.51</v>
      </c>
      <c r="S701" s="2" t="str">
        <f ca="1">IFERROR(__xludf.DUMMYFUNCTION("""COMPUTED_VALUE"""),"10182")</f>
        <v>10182</v>
      </c>
      <c r="T701" s="2">
        <f ca="1">IFERROR(__xludf.DUMMYFUNCTION("""COMPUTED_VALUE"""),2024)</f>
        <v>2024</v>
      </c>
      <c r="U701" s="2" t="str">
        <f ca="1">IFERROR(__xludf.DUMMYFUNCTION("""COMPUTED_VALUE"""),"0978")</f>
        <v>0978</v>
      </c>
      <c r="V701" s="2" t="str">
        <f ca="1">IFERROR(__xludf.DUMMYFUNCTION("""COMPUTED_VALUE"""),"18.004.0015.0182.0140.1076.33.90.30")</f>
        <v>18.004.0015.0182.0140.1076.33.90.30</v>
      </c>
      <c r="W701" s="2" t="str">
        <f ca="1">IFERROR(__xludf.DUMMYFUNCTION("""COMPUTED_VALUE"""),"515")</f>
        <v>515</v>
      </c>
      <c r="X701" s="2"/>
      <c r="Y701" s="2"/>
      <c r="Z701" s="2"/>
      <c r="AA701" s="2"/>
      <c r="AB701" s="2"/>
      <c r="AC701" s="2"/>
      <c r="AD701" s="2"/>
      <c r="AE701" s="2"/>
      <c r="AF701" s="2"/>
    </row>
    <row r="702" spans="1:3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>
        <f ca="1">IFERROR(__xludf.DUMMYFUNCTION("""COMPUTED_VALUE"""),2023)</f>
        <v>2023</v>
      </c>
      <c r="Q702" s="2" t="str">
        <f ca="1">IFERROR(__xludf.DUMMYFUNCTION("""COMPUTED_VALUE"""),"0770")</f>
        <v>0770</v>
      </c>
      <c r="R702" s="2" t="str">
        <f ca="1">IFERROR(__xludf.DUMMYFUNCTION("""COMPUTED_VALUE"""),"05.003.0012.0361.0074.5009.44.90.51")</f>
        <v>05.003.0012.0361.0074.5009.44.90.51</v>
      </c>
      <c r="S702" s="2" t="str">
        <f ca="1">IFERROR(__xludf.DUMMYFUNCTION("""COMPUTED_VALUE"""),"00107")</f>
        <v>00107</v>
      </c>
      <c r="T702" s="2">
        <f ca="1">IFERROR(__xludf.DUMMYFUNCTION("""COMPUTED_VALUE"""),2024)</f>
        <v>2024</v>
      </c>
      <c r="U702" s="2" t="str">
        <f ca="1">IFERROR(__xludf.DUMMYFUNCTION("""COMPUTED_VALUE"""),"0987")</f>
        <v>0987</v>
      </c>
      <c r="V702" s="2" t="str">
        <f ca="1">IFERROR(__xludf.DUMMYFUNCTION("""COMPUTED_VALUE"""),"18.004.0015.0182.0140.1076.33.90.39")</f>
        <v>18.004.0015.0182.0140.1076.33.90.39</v>
      </c>
      <c r="W702" s="2" t="str">
        <f ca="1">IFERROR(__xludf.DUMMYFUNCTION("""COMPUTED_VALUE"""),"509")</f>
        <v>509</v>
      </c>
      <c r="X702" s="2"/>
      <c r="Y702" s="2"/>
      <c r="Z702" s="2"/>
      <c r="AA702" s="2"/>
      <c r="AB702" s="2"/>
      <c r="AC702" s="2"/>
      <c r="AD702" s="2"/>
      <c r="AE702" s="2"/>
      <c r="AF702" s="2"/>
    </row>
    <row r="703" spans="1:32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>
        <f ca="1">IFERROR(__xludf.DUMMYFUNCTION("""COMPUTED_VALUE"""),2023)</f>
        <v>2023</v>
      </c>
      <c r="Q703" s="2" t="str">
        <f ca="1">IFERROR(__xludf.DUMMYFUNCTION("""COMPUTED_VALUE"""),"0771")</f>
        <v>0771</v>
      </c>
      <c r="R703" s="2" t="str">
        <f ca="1">IFERROR(__xludf.DUMMYFUNCTION("""COMPUTED_VALUE"""),"05.003.0012.0365.0074.5012.44.90.51")</f>
        <v>05.003.0012.0365.0074.5012.44.90.51</v>
      </c>
      <c r="S703" s="2" t="str">
        <f ca="1">IFERROR(__xludf.DUMMYFUNCTION("""COMPUTED_VALUE"""),"00107")</f>
        <v>00107</v>
      </c>
      <c r="T703" s="2">
        <f ca="1">IFERROR(__xludf.DUMMYFUNCTION("""COMPUTED_VALUE"""),2024)</f>
        <v>2024</v>
      </c>
      <c r="U703" s="2" t="str">
        <f ca="1">IFERROR(__xludf.DUMMYFUNCTION("""COMPUTED_VALUE"""),"0991")</f>
        <v>0991</v>
      </c>
      <c r="V703" s="2" t="str">
        <f ca="1">IFERROR(__xludf.DUMMYFUNCTION("""COMPUTED_VALUE"""),"18.004.0015.0182.0140.1076.44.90.52")</f>
        <v>18.004.0015.0182.0140.1076.44.90.52</v>
      </c>
      <c r="W703" s="2" t="str">
        <f ca="1">IFERROR(__xludf.DUMMYFUNCTION("""COMPUTED_VALUE"""),"509")</f>
        <v>509</v>
      </c>
      <c r="X703" s="2"/>
      <c r="Y703" s="2"/>
      <c r="Z703" s="2"/>
      <c r="AA703" s="2"/>
      <c r="AB703" s="2"/>
      <c r="AC703" s="2"/>
      <c r="AD703" s="2"/>
      <c r="AE703" s="2"/>
      <c r="AF703" s="2"/>
    </row>
    <row r="704" spans="1:32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>
        <f ca="1">IFERROR(__xludf.DUMMYFUNCTION("""COMPUTED_VALUE"""),2023)</f>
        <v>2023</v>
      </c>
      <c r="Q704" s="2" t="str">
        <f ca="1">IFERROR(__xludf.DUMMYFUNCTION("""COMPUTED_VALUE"""),"0772")</f>
        <v>0772</v>
      </c>
      <c r="R704" s="2" t="str">
        <f ca="1">IFERROR(__xludf.DUMMYFUNCTION("""COMPUTED_VALUE"""),"06.001.0010.0302.0094.1021.44.90.51")</f>
        <v>06.001.0010.0302.0094.1021.44.90.51</v>
      </c>
      <c r="S704" s="2" t="str">
        <f ca="1">IFERROR(__xludf.DUMMYFUNCTION("""COMPUTED_VALUE"""),"00303")</f>
        <v>00303</v>
      </c>
      <c r="T704" s="2">
        <f ca="1">IFERROR(__xludf.DUMMYFUNCTION("""COMPUTED_VALUE"""),2024)</f>
        <v>2024</v>
      </c>
      <c r="U704" s="2" t="str">
        <f ca="1">IFERROR(__xludf.DUMMYFUNCTION("""COMPUTED_VALUE"""),"0993")</f>
        <v>0993</v>
      </c>
      <c r="V704" s="2" t="str">
        <f ca="1">IFERROR(__xludf.DUMMYFUNCTION("""COMPUTED_VALUE"""),"18.004.0015.0452.0140.1077.44.90.51")</f>
        <v>18.004.0015.0452.0140.1077.44.90.51</v>
      </c>
      <c r="W704" s="2" t="str">
        <f ca="1">IFERROR(__xludf.DUMMYFUNCTION("""COMPUTED_VALUE"""),"509")</f>
        <v>509</v>
      </c>
      <c r="X704" s="2"/>
      <c r="Y704" s="2"/>
      <c r="Z704" s="2"/>
      <c r="AA704" s="2"/>
      <c r="AB704" s="2"/>
      <c r="AC704" s="2"/>
      <c r="AD704" s="2"/>
      <c r="AE704" s="2"/>
      <c r="AF704" s="2"/>
    </row>
    <row r="705" spans="1:32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>
        <f ca="1">IFERROR(__xludf.DUMMYFUNCTION("""COMPUTED_VALUE"""),2023)</f>
        <v>2023</v>
      </c>
      <c r="Q705" s="2" t="str">
        <f ca="1">IFERROR(__xludf.DUMMYFUNCTION("""COMPUTED_VALUE"""),"0773")</f>
        <v>0773</v>
      </c>
      <c r="R705" s="2" t="str">
        <f ca="1">IFERROR(__xludf.DUMMYFUNCTION("""COMPUTED_VALUE"""),"06.001.0010.0301.0094.1023.44.90.51")</f>
        <v>06.001.0010.0301.0094.1023.44.90.51</v>
      </c>
      <c r="S705" s="2" t="str">
        <f ca="1">IFERROR(__xludf.DUMMYFUNCTION("""COMPUTED_VALUE"""),"00303")</f>
        <v>00303</v>
      </c>
      <c r="T705" s="2">
        <f ca="1">IFERROR(__xludf.DUMMYFUNCTION("""COMPUTED_VALUE"""),2024)</f>
        <v>2024</v>
      </c>
      <c r="U705" s="2" t="str">
        <f ca="1">IFERROR(__xludf.DUMMYFUNCTION("""COMPUTED_VALUE"""),"0994")</f>
        <v>0994</v>
      </c>
      <c r="V705" s="2" t="str">
        <f ca="1">IFERROR(__xludf.DUMMYFUNCTION("""COMPUTED_VALUE"""),"18.004.0015.0452.0140.1077.44.90.52")</f>
        <v>18.004.0015.0452.0140.1077.44.90.52</v>
      </c>
      <c r="W705" s="2" t="str">
        <f ca="1">IFERROR(__xludf.DUMMYFUNCTION("""COMPUTED_VALUE"""),"0")</f>
        <v>0</v>
      </c>
      <c r="X705" s="2"/>
      <c r="Y705" s="2"/>
      <c r="Z705" s="2"/>
      <c r="AA705" s="2"/>
      <c r="AB705" s="2"/>
      <c r="AC705" s="2"/>
      <c r="AD705" s="2"/>
      <c r="AE705" s="2"/>
      <c r="AF705" s="2"/>
    </row>
    <row r="706" spans="1:32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>
        <f ca="1">IFERROR(__xludf.DUMMYFUNCTION("""COMPUTED_VALUE"""),2023)</f>
        <v>2023</v>
      </c>
      <c r="Q706" s="2" t="str">
        <f ca="1">IFERROR(__xludf.DUMMYFUNCTION("""COMPUTED_VALUE"""),"0775")</f>
        <v>0775</v>
      </c>
      <c r="R706" s="2" t="str">
        <f ca="1">IFERROR(__xludf.DUMMYFUNCTION("""COMPUTED_VALUE"""),"06.001.0010.0301.0094.1025.44.90.51")</f>
        <v>06.001.0010.0301.0094.1025.44.90.51</v>
      </c>
      <c r="S706" s="2" t="str">
        <f ca="1">IFERROR(__xludf.DUMMYFUNCTION("""COMPUTED_VALUE"""),"00303")</f>
        <v>00303</v>
      </c>
      <c r="T706" s="2">
        <f ca="1">IFERROR(__xludf.DUMMYFUNCTION("""COMPUTED_VALUE"""),2024)</f>
        <v>2024</v>
      </c>
      <c r="U706" s="2" t="str">
        <f ca="1">IFERROR(__xludf.DUMMYFUNCTION("""COMPUTED_VALUE"""),"0995")</f>
        <v>0995</v>
      </c>
      <c r="V706" s="2" t="str">
        <f ca="1">IFERROR(__xludf.DUMMYFUNCTION("""COMPUTED_VALUE"""),"18.004.0015.0452.0140.2145.33.90.30")</f>
        <v>18.004.0015.0452.0140.2145.33.90.30</v>
      </c>
      <c r="W706" s="2" t="str">
        <f ca="1">IFERROR(__xludf.DUMMYFUNCTION("""COMPUTED_VALUE"""),"0")</f>
        <v>0</v>
      </c>
      <c r="X706" s="2"/>
      <c r="Y706" s="2"/>
      <c r="Z706" s="2"/>
      <c r="AA706" s="2"/>
      <c r="AB706" s="2"/>
      <c r="AC706" s="2"/>
      <c r="AD706" s="2"/>
      <c r="AE706" s="2"/>
      <c r="AF706" s="2"/>
    </row>
    <row r="707" spans="1:32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>
        <f ca="1">IFERROR(__xludf.DUMMYFUNCTION("""COMPUTED_VALUE"""),2023)</f>
        <v>2023</v>
      </c>
      <c r="Q707" s="2" t="str">
        <f ca="1">IFERROR(__xludf.DUMMYFUNCTION("""COMPUTED_VALUE"""),"0777")</f>
        <v>0777</v>
      </c>
      <c r="R707" s="2" t="str">
        <f ca="1">IFERROR(__xludf.DUMMYFUNCTION("""COMPUTED_VALUE"""),"06.001.0010.0302.0094.1026.44.90.51")</f>
        <v>06.001.0010.0302.0094.1026.44.90.51</v>
      </c>
      <c r="S707" s="2" t="str">
        <f ca="1">IFERROR(__xludf.DUMMYFUNCTION("""COMPUTED_VALUE"""),"00303")</f>
        <v>00303</v>
      </c>
      <c r="T707" s="2">
        <f ca="1">IFERROR(__xludf.DUMMYFUNCTION("""COMPUTED_VALUE"""),2024)</f>
        <v>2024</v>
      </c>
      <c r="U707" s="2" t="str">
        <f ca="1">IFERROR(__xludf.DUMMYFUNCTION("""COMPUTED_VALUE"""),"0998")</f>
        <v>0998</v>
      </c>
      <c r="V707" s="2" t="str">
        <f ca="1">IFERROR(__xludf.DUMMYFUNCTION("""COMPUTED_VALUE"""),"18.004.0015.0452.0140.2145.33.90.40")</f>
        <v>18.004.0015.0452.0140.2145.33.90.40</v>
      </c>
      <c r="W707" s="2" t="str">
        <f ca="1">IFERROR(__xludf.DUMMYFUNCTION("""COMPUTED_VALUE"""),"0")</f>
        <v>0</v>
      </c>
      <c r="X707" s="2"/>
      <c r="Y707" s="2"/>
      <c r="Z707" s="2"/>
      <c r="AA707" s="2"/>
      <c r="AB707" s="2"/>
      <c r="AC707" s="2"/>
      <c r="AD707" s="2"/>
      <c r="AE707" s="2"/>
      <c r="AF707" s="2"/>
    </row>
    <row r="708" spans="1:32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>
        <f ca="1">IFERROR(__xludf.DUMMYFUNCTION("""COMPUTED_VALUE"""),2023)</f>
        <v>2023</v>
      </c>
      <c r="Q708" s="2" t="str">
        <f ca="1">IFERROR(__xludf.DUMMYFUNCTION("""COMPUTED_VALUE"""),"0778")</f>
        <v>0778</v>
      </c>
      <c r="R708" s="2" t="str">
        <f ca="1">IFERROR(__xludf.DUMMYFUNCTION("""COMPUTED_VALUE"""),"06.001.0010.0301.0094.1055.44.90.51")</f>
        <v>06.001.0010.0301.0094.1055.44.90.51</v>
      </c>
      <c r="S708" s="2" t="str">
        <f ca="1">IFERROR(__xludf.DUMMYFUNCTION("""COMPUTED_VALUE"""),"00303")</f>
        <v>00303</v>
      </c>
      <c r="T708" s="2">
        <f ca="1">IFERROR(__xludf.DUMMYFUNCTION("""COMPUTED_VALUE"""),2024)</f>
        <v>2024</v>
      </c>
      <c r="U708" s="2" t="str">
        <f ca="1">IFERROR(__xludf.DUMMYFUNCTION("""COMPUTED_VALUE"""),"1006")</f>
        <v>1006</v>
      </c>
      <c r="V708" s="2" t="str">
        <f ca="1">IFERROR(__xludf.DUMMYFUNCTION("""COMPUTED_VALUE"""),"19.001.0004.0121.0131.2157.33.90.30")</f>
        <v>19.001.0004.0121.0131.2157.33.90.30</v>
      </c>
      <c r="W708" s="2" t="str">
        <f ca="1">IFERROR(__xludf.DUMMYFUNCTION("""COMPUTED_VALUE"""),"0")</f>
        <v>0</v>
      </c>
      <c r="X708" s="2"/>
      <c r="Y708" s="2"/>
      <c r="Z708" s="2"/>
      <c r="AA708" s="2"/>
      <c r="AB708" s="2"/>
      <c r="AC708" s="2"/>
      <c r="AD708" s="2"/>
      <c r="AE708" s="2"/>
      <c r="AF708" s="2"/>
    </row>
    <row r="709" spans="1:32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>
        <f ca="1">IFERROR(__xludf.DUMMYFUNCTION("""COMPUTED_VALUE"""),2023)</f>
        <v>2023</v>
      </c>
      <c r="Q709" s="2" t="str">
        <f ca="1">IFERROR(__xludf.DUMMYFUNCTION("""COMPUTED_VALUE"""),"0779")</f>
        <v>0779</v>
      </c>
      <c r="R709" s="2" t="str">
        <f ca="1">IFERROR(__xludf.DUMMYFUNCTION("""COMPUTED_VALUE"""),"07.002.0015.0451.0104.1046.44.90.51")</f>
        <v>07.002.0015.0451.0104.1046.44.90.51</v>
      </c>
      <c r="S709" s="2" t="str">
        <f ca="1">IFERROR(__xludf.DUMMYFUNCTION("""COMPUTED_VALUE"""),"0000")</f>
        <v>0000</v>
      </c>
      <c r="T709" s="2">
        <f ca="1">IFERROR(__xludf.DUMMYFUNCTION("""COMPUTED_VALUE"""),2024)</f>
        <v>2024</v>
      </c>
      <c r="U709" s="2" t="str">
        <f ca="1">IFERROR(__xludf.DUMMYFUNCTION("""COMPUTED_VALUE"""),"1007")</f>
        <v>1007</v>
      </c>
      <c r="V709" s="2" t="str">
        <f ca="1">IFERROR(__xludf.DUMMYFUNCTION("""COMPUTED_VALUE"""),"19.001.0004.0121.0131.2157.33.90.30")</f>
        <v>19.001.0004.0121.0131.2157.33.90.30</v>
      </c>
      <c r="W709" s="2" t="str">
        <f ca="1">IFERROR(__xludf.DUMMYFUNCTION("""COMPUTED_VALUE"""),"0")</f>
        <v>0</v>
      </c>
      <c r="X709" s="2"/>
      <c r="Y709" s="2"/>
      <c r="Z709" s="2"/>
      <c r="AA709" s="2"/>
      <c r="AB709" s="2"/>
      <c r="AC709" s="2"/>
      <c r="AD709" s="2"/>
      <c r="AE709" s="2"/>
      <c r="AF709" s="2"/>
    </row>
    <row r="710" spans="1:32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>
        <f ca="1">IFERROR(__xludf.DUMMYFUNCTION("""COMPUTED_VALUE"""),2023)</f>
        <v>2023</v>
      </c>
      <c r="Q710" s="2" t="str">
        <f ca="1">IFERROR(__xludf.DUMMYFUNCTION("""COMPUTED_VALUE"""),"0780")</f>
        <v>0780</v>
      </c>
      <c r="R710" s="2" t="str">
        <f ca="1">IFERROR(__xludf.DUMMYFUNCTION("""COMPUTED_VALUE"""),"07.002.0015.0451.0104.1046.44.90.51")</f>
        <v>07.002.0015.0451.0104.1046.44.90.51</v>
      </c>
      <c r="S710" s="2" t="str">
        <f ca="1">IFERROR(__xludf.DUMMYFUNCTION("""COMPUTED_VALUE"""),"00609")</f>
        <v>00609</v>
      </c>
      <c r="T710" s="2">
        <f ca="1">IFERROR(__xludf.DUMMYFUNCTION("""COMPUTED_VALUE"""),2024)</f>
        <v>2024</v>
      </c>
      <c r="U710" s="2" t="str">
        <f ca="1">IFERROR(__xludf.DUMMYFUNCTION("""COMPUTED_VALUE"""),"1009")</f>
        <v>1009</v>
      </c>
      <c r="V710" s="2" t="str">
        <f ca="1">IFERROR(__xludf.DUMMYFUNCTION("""COMPUTED_VALUE"""),"19.001.0004.0121.0131.2157.33.90.39")</f>
        <v>19.001.0004.0121.0131.2157.33.90.39</v>
      </c>
      <c r="W710" s="2" t="str">
        <f ca="1">IFERROR(__xludf.DUMMYFUNCTION("""COMPUTED_VALUE"""),"5105")</f>
        <v>5105</v>
      </c>
      <c r="X710" s="2"/>
      <c r="Y710" s="2"/>
      <c r="Z710" s="2"/>
      <c r="AA710" s="2"/>
      <c r="AB710" s="2"/>
      <c r="AC710" s="2"/>
      <c r="AD710" s="2"/>
      <c r="AE710" s="2"/>
      <c r="AF710" s="2"/>
    </row>
    <row r="711" spans="1:32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>
        <f ca="1">IFERROR(__xludf.DUMMYFUNCTION("""COMPUTED_VALUE"""),2023)</f>
        <v>2023</v>
      </c>
      <c r="Q711" s="2" t="str">
        <f ca="1">IFERROR(__xludf.DUMMYFUNCTION("""COMPUTED_VALUE"""),"0781")</f>
        <v>0781</v>
      </c>
      <c r="R711" s="2" t="str">
        <f ca="1">IFERROR(__xludf.DUMMYFUNCTION("""COMPUTED_VALUE"""),"07.002.0015.0451.0104.1046.44.90.51")</f>
        <v>07.002.0015.0451.0104.1046.44.90.51</v>
      </c>
      <c r="S711" s="2" t="str">
        <f ca="1">IFERROR(__xludf.DUMMYFUNCTION("""COMPUTED_VALUE"""),"00610")</f>
        <v>00610</v>
      </c>
      <c r="T711" s="2">
        <f ca="1">IFERROR(__xludf.DUMMYFUNCTION("""COMPUTED_VALUE"""),2024)</f>
        <v>2024</v>
      </c>
      <c r="U711" s="2" t="str">
        <f ca="1">IFERROR(__xludf.DUMMYFUNCTION("""COMPUTED_VALUE"""),"1008")</f>
        <v>1008</v>
      </c>
      <c r="V711" s="2" t="str">
        <f ca="1">IFERROR(__xludf.DUMMYFUNCTION("""COMPUTED_VALUE"""),"19.001.0004.0121.0131.2157.33.90.39")</f>
        <v>19.001.0004.0121.0131.2157.33.90.39</v>
      </c>
      <c r="W711" s="2" t="str">
        <f ca="1">IFERROR(__xludf.DUMMYFUNCTION("""COMPUTED_VALUE"""),"0")</f>
        <v>0</v>
      </c>
      <c r="X711" s="2"/>
      <c r="Y711" s="2"/>
      <c r="Z711" s="2"/>
      <c r="AA711" s="2"/>
      <c r="AB711" s="2"/>
      <c r="AC711" s="2"/>
      <c r="AD711" s="2"/>
      <c r="AE711" s="2"/>
      <c r="AF711" s="2"/>
    </row>
    <row r="712" spans="1:3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>
        <f ca="1">IFERROR(__xludf.DUMMYFUNCTION("""COMPUTED_VALUE"""),2023)</f>
        <v>2023</v>
      </c>
      <c r="Q712" s="2" t="str">
        <f ca="1">IFERROR(__xludf.DUMMYFUNCTION("""COMPUTED_VALUE"""),"0782")</f>
        <v>0782</v>
      </c>
      <c r="R712" s="2" t="str">
        <f ca="1">IFERROR(__xludf.DUMMYFUNCTION("""COMPUTED_VALUE"""),"07.002.0015.0451.0104.1046.44.90.51")</f>
        <v>07.002.0015.0451.0104.1046.44.90.51</v>
      </c>
      <c r="S712" s="2" t="str">
        <f ca="1">IFERROR(__xludf.DUMMYFUNCTION("""COMPUTED_VALUE"""),"00612")</f>
        <v>00612</v>
      </c>
      <c r="T712" s="2">
        <f ca="1">IFERROR(__xludf.DUMMYFUNCTION("""COMPUTED_VALUE"""),2024)</f>
        <v>2024</v>
      </c>
      <c r="U712" s="2" t="str">
        <f ca="1">IFERROR(__xludf.DUMMYFUNCTION("""COMPUTED_VALUE"""),"1010")</f>
        <v>1010</v>
      </c>
      <c r="V712" s="2" t="str">
        <f ca="1">IFERROR(__xludf.DUMMYFUNCTION("""COMPUTED_VALUE"""),"19.001.0004.0122.0131.2154.33.90.39")</f>
        <v>19.001.0004.0122.0131.2154.33.90.39</v>
      </c>
      <c r="W712" s="2" t="str">
        <f ca="1">IFERROR(__xludf.DUMMYFUNCTION("""COMPUTED_VALUE"""),"5105")</f>
        <v>5105</v>
      </c>
      <c r="X712" s="2"/>
      <c r="Y712" s="2"/>
      <c r="Z712" s="2"/>
      <c r="AA712" s="2"/>
      <c r="AB712" s="2"/>
      <c r="AC712" s="2"/>
      <c r="AD712" s="2"/>
      <c r="AE712" s="2"/>
      <c r="AF712" s="2"/>
    </row>
    <row r="713" spans="1:32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>
        <f ca="1">IFERROR(__xludf.DUMMYFUNCTION("""COMPUTED_VALUE"""),2023)</f>
        <v>2023</v>
      </c>
      <c r="Q713" s="2" t="str">
        <f ca="1">IFERROR(__xludf.DUMMYFUNCTION("""COMPUTED_VALUE"""),"0783")</f>
        <v>0783</v>
      </c>
      <c r="R713" s="2" t="str">
        <f ca="1">IFERROR(__xludf.DUMMYFUNCTION("""COMPUTED_VALUE"""),"07.002.0015.0451.0104.1046.44.90.51")</f>
        <v>07.002.0015.0451.0104.1046.44.90.51</v>
      </c>
      <c r="S713" s="2" t="str">
        <f ca="1">IFERROR(__xludf.DUMMYFUNCTION("""COMPUTED_VALUE"""),"00614")</f>
        <v>00614</v>
      </c>
      <c r="T713" s="2">
        <f ca="1">IFERROR(__xludf.DUMMYFUNCTION("""COMPUTED_VALUE"""),2024)</f>
        <v>2024</v>
      </c>
      <c r="U713" s="2" t="str">
        <f ca="1">IFERROR(__xludf.DUMMYFUNCTION("""COMPUTED_VALUE"""),"1011")</f>
        <v>1011</v>
      </c>
      <c r="V713" s="2" t="str">
        <f ca="1">IFERROR(__xludf.DUMMYFUNCTION("""COMPUTED_VALUE"""),"19.001.0004.0122.0131.2154.33.90.39")</f>
        <v>19.001.0004.0122.0131.2154.33.90.39</v>
      </c>
      <c r="W713" s="2" t="str">
        <f ca="1">IFERROR(__xludf.DUMMYFUNCTION("""COMPUTED_VALUE"""),"0")</f>
        <v>0</v>
      </c>
      <c r="X713" s="2"/>
      <c r="Y713" s="2"/>
      <c r="Z713" s="2"/>
      <c r="AA713" s="2"/>
      <c r="AB713" s="2"/>
      <c r="AC713" s="2"/>
      <c r="AD713" s="2"/>
      <c r="AE713" s="2"/>
      <c r="AF713" s="2"/>
    </row>
    <row r="714" spans="1:32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>
        <f ca="1">IFERROR(__xludf.DUMMYFUNCTION("""COMPUTED_VALUE"""),2023)</f>
        <v>2023</v>
      </c>
      <c r="Q714" s="2" t="str">
        <f ca="1">IFERROR(__xludf.DUMMYFUNCTION("""COMPUTED_VALUE"""),"0784")</f>
        <v>0784</v>
      </c>
      <c r="R714" s="2" t="str">
        <f ca="1">IFERROR(__xludf.DUMMYFUNCTION("""COMPUTED_VALUE"""),"07.002.0015.0451.0104.1046.44.90.51")</f>
        <v>07.002.0015.0451.0104.1046.44.90.51</v>
      </c>
      <c r="S714" s="2" t="str">
        <f ca="1">IFERROR(__xludf.DUMMYFUNCTION("""COMPUTED_VALUE"""),"00778")</f>
        <v>00778</v>
      </c>
      <c r="T714" s="2">
        <f ca="1">IFERROR(__xludf.DUMMYFUNCTION("""COMPUTED_VALUE"""),2024)</f>
        <v>2024</v>
      </c>
      <c r="U714" s="2" t="str">
        <f ca="1">IFERROR(__xludf.DUMMYFUNCTION("""COMPUTED_VALUE"""),"1012")</f>
        <v>1012</v>
      </c>
      <c r="V714" s="2" t="str">
        <f ca="1">IFERROR(__xludf.DUMMYFUNCTION("""COMPUTED_VALUE"""),"19.001.0004.0122.0131.2156.31.90.11")</f>
        <v>19.001.0004.0122.0131.2156.31.90.11</v>
      </c>
      <c r="W714" s="2" t="str">
        <f ca="1">IFERROR(__xludf.DUMMYFUNCTION("""COMPUTED_VALUE"""),"5105")</f>
        <v>5105</v>
      </c>
      <c r="X714" s="2"/>
      <c r="Y714" s="2"/>
      <c r="Z714" s="2"/>
      <c r="AA714" s="2"/>
      <c r="AB714" s="2"/>
      <c r="AC714" s="2"/>
      <c r="AD714" s="2"/>
      <c r="AE714" s="2"/>
      <c r="AF714" s="2"/>
    </row>
    <row r="715" spans="1:32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>
        <f ca="1">IFERROR(__xludf.DUMMYFUNCTION("""COMPUTED_VALUE"""),2023)</f>
        <v>2023</v>
      </c>
      <c r="Q715" s="2" t="str">
        <f ca="1">IFERROR(__xludf.DUMMYFUNCTION("""COMPUTED_VALUE"""),"0785")</f>
        <v>0785</v>
      </c>
      <c r="R715" s="2" t="str">
        <f ca="1">IFERROR(__xludf.DUMMYFUNCTION("""COMPUTED_VALUE"""),"07.002.0015.0451.0104.1046.44.90.51")</f>
        <v>07.002.0015.0451.0104.1046.44.90.51</v>
      </c>
      <c r="S715" s="2" t="str">
        <f ca="1">IFERROR(__xludf.DUMMYFUNCTION("""COMPUTED_VALUE"""),"00779")</f>
        <v>00779</v>
      </c>
      <c r="T715" s="2">
        <f ca="1">IFERROR(__xludf.DUMMYFUNCTION("""COMPUTED_VALUE"""),2024)</f>
        <v>2024</v>
      </c>
      <c r="U715" s="2" t="str">
        <f ca="1">IFERROR(__xludf.DUMMYFUNCTION("""COMPUTED_VALUE"""),"1023")</f>
        <v>1023</v>
      </c>
      <c r="V715" s="2" t="str">
        <f ca="1">IFERROR(__xludf.DUMMYFUNCTION("""COMPUTED_VALUE"""),"19.001.0004.0122.0131.2156.31.90.13")</f>
        <v>19.001.0004.0122.0131.2156.31.90.13</v>
      </c>
      <c r="W715" s="2" t="str">
        <f ca="1">IFERROR(__xludf.DUMMYFUNCTION("""COMPUTED_VALUE"""),"5105")</f>
        <v>5105</v>
      </c>
      <c r="X715" s="2"/>
      <c r="Y715" s="2"/>
      <c r="Z715" s="2"/>
      <c r="AA715" s="2"/>
      <c r="AB715" s="2"/>
      <c r="AC715" s="2"/>
      <c r="AD715" s="2"/>
      <c r="AE715" s="2"/>
      <c r="AF715" s="2"/>
    </row>
    <row r="716" spans="1:32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>
        <f ca="1">IFERROR(__xludf.DUMMYFUNCTION("""COMPUTED_VALUE"""),2023)</f>
        <v>2023</v>
      </c>
      <c r="Q716" s="2" t="str">
        <f ca="1">IFERROR(__xludf.DUMMYFUNCTION("""COMPUTED_VALUE"""),"0786")</f>
        <v>0786</v>
      </c>
      <c r="R716" s="2" t="str">
        <f ca="1">IFERROR(__xludf.DUMMYFUNCTION("""COMPUTED_VALUE"""),"07.007.0015.0452.0104.1052.44.90.51")</f>
        <v>07.007.0015.0452.0104.1052.44.90.51</v>
      </c>
      <c r="S716" s="2" t="str">
        <f ca="1">IFERROR(__xludf.DUMMYFUNCTION("""COMPUTED_VALUE"""),"0000")</f>
        <v>0000</v>
      </c>
      <c r="T716" s="2">
        <f ca="1">IFERROR(__xludf.DUMMYFUNCTION("""COMPUTED_VALUE"""),2024)</f>
        <v>2024</v>
      </c>
      <c r="U716" s="2" t="str">
        <f ca="1">IFERROR(__xludf.DUMMYFUNCTION("""COMPUTED_VALUE"""),"1013")</f>
        <v>1013</v>
      </c>
      <c r="V716" s="2" t="str">
        <f ca="1">IFERROR(__xludf.DUMMYFUNCTION("""COMPUTED_VALUE"""),"19.001.0004.0122.0131.2156.33.90.14")</f>
        <v>19.001.0004.0122.0131.2156.33.90.14</v>
      </c>
      <c r="W716" s="2" t="str">
        <f ca="1">IFERROR(__xludf.DUMMYFUNCTION("""COMPUTED_VALUE"""),"0")</f>
        <v>0</v>
      </c>
      <c r="X716" s="2"/>
      <c r="Y716" s="2"/>
      <c r="Z716" s="2"/>
      <c r="AA716" s="2"/>
      <c r="AB716" s="2"/>
      <c r="AC716" s="2"/>
      <c r="AD716" s="2"/>
      <c r="AE716" s="2"/>
      <c r="AF716" s="2"/>
    </row>
    <row r="717" spans="1:32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>
        <f ca="1">IFERROR(__xludf.DUMMYFUNCTION("""COMPUTED_VALUE"""),2023)</f>
        <v>2023</v>
      </c>
      <c r="Q717" s="2" t="str">
        <f ca="1">IFERROR(__xludf.DUMMYFUNCTION("""COMPUTED_VALUE"""),"0787")</f>
        <v>0787</v>
      </c>
      <c r="R717" s="2" t="str">
        <f ca="1">IFERROR(__xludf.DUMMYFUNCTION("""COMPUTED_VALUE"""),"07.007.0015.0452.0104.1052.44.90.51")</f>
        <v>07.007.0015.0452.0104.1052.44.90.51</v>
      </c>
      <c r="S717" s="2" t="str">
        <f ca="1">IFERROR(__xludf.DUMMYFUNCTION("""COMPUTED_VALUE"""),"00735")</f>
        <v>00735</v>
      </c>
      <c r="T717" s="2">
        <f ca="1">IFERROR(__xludf.DUMMYFUNCTION("""COMPUTED_VALUE"""),2024)</f>
        <v>2024</v>
      </c>
      <c r="U717" s="2" t="str">
        <f ca="1">IFERROR(__xludf.DUMMYFUNCTION("""COMPUTED_VALUE"""),"1014")</f>
        <v>1014</v>
      </c>
      <c r="V717" s="2" t="str">
        <f ca="1">IFERROR(__xludf.DUMMYFUNCTION("""COMPUTED_VALUE"""),"19.001.0004.0122.0131.2156.33.90.14")</f>
        <v>19.001.0004.0122.0131.2156.33.90.14</v>
      </c>
      <c r="W717" s="2" t="str">
        <f ca="1">IFERROR(__xludf.DUMMYFUNCTION("""COMPUTED_VALUE"""),"0")</f>
        <v>0</v>
      </c>
      <c r="X717" s="2"/>
      <c r="Y717" s="2"/>
      <c r="Z717" s="2"/>
      <c r="AA717" s="2"/>
      <c r="AB717" s="2"/>
      <c r="AC717" s="2"/>
      <c r="AD717" s="2"/>
      <c r="AE717" s="2"/>
      <c r="AF717" s="2"/>
    </row>
    <row r="718" spans="1:32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>
        <f ca="1">IFERROR(__xludf.DUMMYFUNCTION("""COMPUTED_VALUE"""),2023)</f>
        <v>2023</v>
      </c>
      <c r="Q718" s="2" t="str">
        <f ca="1">IFERROR(__xludf.DUMMYFUNCTION("""COMPUTED_VALUE"""),"0788")</f>
        <v>0788</v>
      </c>
      <c r="R718" s="2" t="str">
        <f ca="1">IFERROR(__xludf.DUMMYFUNCTION("""COMPUTED_VALUE"""),"07.007.0015.0452.0104.1053.44.90.51")</f>
        <v>07.007.0015.0452.0104.1053.44.90.51</v>
      </c>
      <c r="S718" s="2" t="str">
        <f ca="1">IFERROR(__xludf.DUMMYFUNCTION("""COMPUTED_VALUE"""),"0000")</f>
        <v>0000</v>
      </c>
      <c r="T718" s="2">
        <f ca="1">IFERROR(__xludf.DUMMYFUNCTION("""COMPUTED_VALUE"""),2024)</f>
        <v>2024</v>
      </c>
      <c r="U718" s="2" t="str">
        <f ca="1">IFERROR(__xludf.DUMMYFUNCTION("""COMPUTED_VALUE"""),"1024")</f>
        <v>1024</v>
      </c>
      <c r="V718" s="2" t="str">
        <f ca="1">IFERROR(__xludf.DUMMYFUNCTION("""COMPUTED_VALUE"""),"19.001.0004.0122.0131.2156.33.90.30")</f>
        <v>19.001.0004.0122.0131.2156.33.90.30</v>
      </c>
      <c r="W718" s="2" t="str">
        <f ca="1">IFERROR(__xludf.DUMMYFUNCTION("""COMPUTED_VALUE"""),"5105")</f>
        <v>5105</v>
      </c>
      <c r="X718" s="2"/>
      <c r="Y718" s="2"/>
      <c r="Z718" s="2"/>
      <c r="AA718" s="2"/>
      <c r="AB718" s="2"/>
      <c r="AC718" s="2"/>
      <c r="AD718" s="2"/>
      <c r="AE718" s="2"/>
      <c r="AF718" s="2"/>
    </row>
    <row r="719" spans="1:32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>
        <f ca="1">IFERROR(__xludf.DUMMYFUNCTION("""COMPUTED_VALUE"""),2023)</f>
        <v>2023</v>
      </c>
      <c r="Q719" s="2" t="str">
        <f ca="1">IFERROR(__xludf.DUMMYFUNCTION("""COMPUTED_VALUE"""),"0789")</f>
        <v>0789</v>
      </c>
      <c r="R719" s="2" t="str">
        <f ca="1">IFERROR(__xludf.DUMMYFUNCTION("""COMPUTED_VALUE"""),"07.007.0015.0452.0104.1053.44.90.51")</f>
        <v>07.007.0015.0452.0104.1053.44.90.51</v>
      </c>
      <c r="S719" s="2" t="str">
        <f ca="1">IFERROR(__xludf.DUMMYFUNCTION("""COMPUTED_VALUE"""),"00780")</f>
        <v>00780</v>
      </c>
      <c r="T719" s="2">
        <f ca="1">IFERROR(__xludf.DUMMYFUNCTION("""COMPUTED_VALUE"""),2024)</f>
        <v>2024</v>
      </c>
      <c r="U719" s="2" t="str">
        <f ca="1">IFERROR(__xludf.DUMMYFUNCTION("""COMPUTED_VALUE"""),"1015")</f>
        <v>1015</v>
      </c>
      <c r="V719" s="2" t="str">
        <f ca="1">IFERROR(__xludf.DUMMYFUNCTION("""COMPUTED_VALUE"""),"19.001.0004.0122.0131.2156.33.90.30")</f>
        <v>19.001.0004.0122.0131.2156.33.90.30</v>
      </c>
      <c r="W719" s="2" t="str">
        <f ca="1">IFERROR(__xludf.DUMMYFUNCTION("""COMPUTED_VALUE"""),"0")</f>
        <v>0</v>
      </c>
      <c r="X719" s="2"/>
      <c r="Y719" s="2"/>
      <c r="Z719" s="2"/>
      <c r="AA719" s="2"/>
      <c r="AB719" s="2"/>
      <c r="AC719" s="2"/>
      <c r="AD719" s="2"/>
      <c r="AE719" s="2"/>
      <c r="AF719" s="2"/>
    </row>
    <row r="720" spans="1:32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>
        <f ca="1">IFERROR(__xludf.DUMMYFUNCTION("""COMPUTED_VALUE"""),2023)</f>
        <v>2023</v>
      </c>
      <c r="Q720" s="2" t="str">
        <f ca="1">IFERROR(__xludf.DUMMYFUNCTION("""COMPUTED_VALUE"""),"0790")</f>
        <v>0790</v>
      </c>
      <c r="R720" s="2" t="str">
        <f ca="1">IFERROR(__xludf.DUMMYFUNCTION("""COMPUTED_VALUE"""),"07.007.0015.0452.0104.1053.44.90.51")</f>
        <v>07.007.0015.0452.0104.1053.44.90.51</v>
      </c>
      <c r="S720" s="2" t="str">
        <f ca="1">IFERROR(__xludf.DUMMYFUNCTION("""COMPUTED_VALUE"""),"00781")</f>
        <v>00781</v>
      </c>
      <c r="T720" s="2">
        <f ca="1">IFERROR(__xludf.DUMMYFUNCTION("""COMPUTED_VALUE"""),2024)</f>
        <v>2024</v>
      </c>
      <c r="U720" s="2" t="str">
        <f ca="1">IFERROR(__xludf.DUMMYFUNCTION("""COMPUTED_VALUE"""),"1021")</f>
        <v>1021</v>
      </c>
      <c r="V720" s="2" t="str">
        <f ca="1">IFERROR(__xludf.DUMMYFUNCTION("""COMPUTED_VALUE"""),"19.001.0004.0122.0131.2156.33.90.30")</f>
        <v>19.001.0004.0122.0131.2156.33.90.30</v>
      </c>
      <c r="W720" s="2" t="str">
        <f ca="1">IFERROR(__xludf.DUMMYFUNCTION("""COMPUTED_VALUE"""),"2")</f>
        <v>2</v>
      </c>
      <c r="X720" s="2"/>
      <c r="Y720" s="2"/>
      <c r="Z720" s="2"/>
      <c r="AA720" s="2"/>
      <c r="AB720" s="2"/>
      <c r="AC720" s="2"/>
      <c r="AD720" s="2"/>
      <c r="AE720" s="2"/>
      <c r="AF720" s="2"/>
    </row>
    <row r="721" spans="1:32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>
        <f ca="1">IFERROR(__xludf.DUMMYFUNCTION("""COMPUTED_VALUE"""),2023)</f>
        <v>2023</v>
      </c>
      <c r="Q721" s="2" t="str">
        <f ca="1">IFERROR(__xludf.DUMMYFUNCTION("""COMPUTED_VALUE"""),"0791")</f>
        <v>0791</v>
      </c>
      <c r="R721" s="2" t="str">
        <f ca="1">IFERROR(__xludf.DUMMYFUNCTION("""COMPUTED_VALUE"""),"07.006.0015.0452.0104.2136.44.90.51")</f>
        <v>07.006.0015.0452.0104.2136.44.90.51</v>
      </c>
      <c r="S721" s="2" t="str">
        <f ca="1">IFERROR(__xludf.DUMMYFUNCTION("""COMPUTED_VALUE"""),"0000")</f>
        <v>0000</v>
      </c>
      <c r="T721" s="2">
        <f ca="1">IFERROR(__xludf.DUMMYFUNCTION("""COMPUTED_VALUE"""),2024)</f>
        <v>2024</v>
      </c>
      <c r="U721" s="2" t="str">
        <f ca="1">IFERROR(__xludf.DUMMYFUNCTION("""COMPUTED_VALUE"""),"1025")</f>
        <v>1025</v>
      </c>
      <c r="V721" s="2" t="str">
        <f ca="1">IFERROR(__xludf.DUMMYFUNCTION("""COMPUTED_VALUE"""),"19.001.0004.0122.0131.2156.33.90.33")</f>
        <v>19.001.0004.0122.0131.2156.33.90.33</v>
      </c>
      <c r="W721" s="2" t="str">
        <f ca="1">IFERROR(__xludf.DUMMYFUNCTION("""COMPUTED_VALUE"""),"5105")</f>
        <v>5105</v>
      </c>
      <c r="X721" s="2"/>
      <c r="Y721" s="2"/>
      <c r="Z721" s="2"/>
      <c r="AA721" s="2"/>
      <c r="AB721" s="2"/>
      <c r="AC721" s="2"/>
      <c r="AD721" s="2"/>
      <c r="AE721" s="2"/>
      <c r="AF721" s="2"/>
    </row>
    <row r="722" spans="1:3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>
        <f ca="1">IFERROR(__xludf.DUMMYFUNCTION("""COMPUTED_VALUE"""),2023)</f>
        <v>2023</v>
      </c>
      <c r="Q722" s="2" t="str">
        <f ca="1">IFERROR(__xludf.DUMMYFUNCTION("""COMPUTED_VALUE"""),"0792")</f>
        <v>0792</v>
      </c>
      <c r="R722" s="2" t="str">
        <f ca="1">IFERROR(__xludf.DUMMYFUNCTION("""COMPUTED_VALUE"""),"03.002.0016.0482.0122.1029.44.90.51")</f>
        <v>03.002.0016.0482.0122.1029.44.90.51</v>
      </c>
      <c r="S722" s="2" t="str">
        <f ca="1">IFERROR(__xludf.DUMMYFUNCTION("""COMPUTED_VALUE"""),"00037")</f>
        <v>00037</v>
      </c>
      <c r="T722" s="2">
        <f ca="1">IFERROR(__xludf.DUMMYFUNCTION("""COMPUTED_VALUE"""),2024)</f>
        <v>2024</v>
      </c>
      <c r="U722" s="2" t="str">
        <f ca="1">IFERROR(__xludf.DUMMYFUNCTION("""COMPUTED_VALUE"""),"1016")</f>
        <v>1016</v>
      </c>
      <c r="V722" s="2" t="str">
        <f ca="1">IFERROR(__xludf.DUMMYFUNCTION("""COMPUTED_VALUE"""),"19.001.0004.0122.0131.2156.33.90.33")</f>
        <v>19.001.0004.0122.0131.2156.33.90.33</v>
      </c>
      <c r="W722" s="2" t="str">
        <f ca="1">IFERROR(__xludf.DUMMYFUNCTION("""COMPUTED_VALUE"""),"0")</f>
        <v>0</v>
      </c>
      <c r="X722" s="2"/>
      <c r="Y722" s="2"/>
      <c r="Z722" s="2"/>
      <c r="AA722" s="2"/>
      <c r="AB722" s="2"/>
      <c r="AC722" s="2"/>
      <c r="AD722" s="2"/>
      <c r="AE722" s="2"/>
      <c r="AF722" s="2"/>
    </row>
    <row r="723" spans="1:32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>
        <f ca="1">IFERROR(__xludf.DUMMYFUNCTION("""COMPUTED_VALUE"""),2023)</f>
        <v>2023</v>
      </c>
      <c r="Q723" s="2" t="str">
        <f ca="1">IFERROR(__xludf.DUMMYFUNCTION("""COMPUTED_VALUE"""),"0793")</f>
        <v>0793</v>
      </c>
      <c r="R723" s="2" t="str">
        <f ca="1">IFERROR(__xludf.DUMMYFUNCTION("""COMPUTED_VALUE"""),"10.006.0018.0541.0123.1041.44.90.51")</f>
        <v>10.006.0018.0541.0123.1041.44.90.51</v>
      </c>
      <c r="S723" s="2" t="str">
        <f ca="1">IFERROR(__xludf.DUMMYFUNCTION("""COMPUTED_VALUE"""),"00011")</f>
        <v>00011</v>
      </c>
      <c r="T723" s="2">
        <f ca="1">IFERROR(__xludf.DUMMYFUNCTION("""COMPUTED_VALUE"""),2024)</f>
        <v>2024</v>
      </c>
      <c r="U723" s="2" t="str">
        <f ca="1">IFERROR(__xludf.DUMMYFUNCTION("""COMPUTED_VALUE"""),"1026")</f>
        <v>1026</v>
      </c>
      <c r="V723" s="2" t="str">
        <f ca="1">IFERROR(__xludf.DUMMYFUNCTION("""COMPUTED_VALUE"""),"19.001.0004.0122.0131.2156.33.90.36")</f>
        <v>19.001.0004.0122.0131.2156.33.90.36</v>
      </c>
      <c r="W723" s="2" t="str">
        <f ca="1">IFERROR(__xludf.DUMMYFUNCTION("""COMPUTED_VALUE"""),"5105")</f>
        <v>5105</v>
      </c>
      <c r="X723" s="2"/>
      <c r="Y723" s="2"/>
      <c r="Z723" s="2"/>
      <c r="AA723" s="2"/>
      <c r="AB723" s="2"/>
      <c r="AC723" s="2"/>
      <c r="AD723" s="2"/>
      <c r="AE723" s="2"/>
      <c r="AF723" s="2"/>
    </row>
    <row r="724" spans="1:32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>
        <f ca="1">IFERROR(__xludf.DUMMYFUNCTION("""COMPUTED_VALUE"""),2023)</f>
        <v>2023</v>
      </c>
      <c r="Q724" s="2" t="str">
        <f ca="1">IFERROR(__xludf.DUMMYFUNCTION("""COMPUTED_VALUE"""),"0794")</f>
        <v>0794</v>
      </c>
      <c r="R724" s="2" t="str">
        <f ca="1">IFERROR(__xludf.DUMMYFUNCTION("""COMPUTED_VALUE"""),"10.006.0018.0541.0123.1041.44.90.51")</f>
        <v>10.006.0018.0541.0123.1041.44.90.51</v>
      </c>
      <c r="S724" s="2" t="str">
        <f ca="1">IFERROR(__xludf.DUMMYFUNCTION("""COMPUTED_VALUE"""),"00555")</f>
        <v>00555</v>
      </c>
      <c r="T724" s="2">
        <f ca="1">IFERROR(__xludf.DUMMYFUNCTION("""COMPUTED_VALUE"""),2024)</f>
        <v>2024</v>
      </c>
      <c r="U724" s="2" t="str">
        <f ca="1">IFERROR(__xludf.DUMMYFUNCTION("""COMPUTED_VALUE"""),"1017")</f>
        <v>1017</v>
      </c>
      <c r="V724" s="2" t="str">
        <f ca="1">IFERROR(__xludf.DUMMYFUNCTION("""COMPUTED_VALUE"""),"19.001.0004.0122.0131.2156.33.90.36")</f>
        <v>19.001.0004.0122.0131.2156.33.90.36</v>
      </c>
      <c r="W724" s="2" t="str">
        <f ca="1">IFERROR(__xludf.DUMMYFUNCTION("""COMPUTED_VALUE"""),"0")</f>
        <v>0</v>
      </c>
      <c r="X724" s="2"/>
      <c r="Y724" s="2"/>
      <c r="Z724" s="2"/>
      <c r="AA724" s="2"/>
      <c r="AB724" s="2"/>
      <c r="AC724" s="2"/>
      <c r="AD724" s="2"/>
      <c r="AE724" s="2"/>
      <c r="AF724" s="2"/>
    </row>
    <row r="725" spans="1:32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>
        <f ca="1">IFERROR(__xludf.DUMMYFUNCTION("""COMPUTED_VALUE"""),2023)</f>
        <v>2023</v>
      </c>
      <c r="Q725" s="2" t="str">
        <f ca="1">IFERROR(__xludf.DUMMYFUNCTION("""COMPUTED_VALUE"""),"0795")</f>
        <v>0795</v>
      </c>
      <c r="R725" s="2" t="str">
        <f ca="1">IFERROR(__xludf.DUMMYFUNCTION("""COMPUTED_VALUE"""),"10.006.0018.0541.0123.1041.44.90.51")</f>
        <v>10.006.0018.0541.0123.1041.44.90.51</v>
      </c>
      <c r="S725" s="2" t="str">
        <f ca="1">IFERROR(__xludf.DUMMYFUNCTION("""COMPUTED_VALUE"""),"05103")</f>
        <v>05103</v>
      </c>
      <c r="T725" s="2">
        <f ca="1">IFERROR(__xludf.DUMMYFUNCTION("""COMPUTED_VALUE"""),2024)</f>
        <v>2024</v>
      </c>
      <c r="U725" s="2" t="str">
        <f ca="1">IFERROR(__xludf.DUMMYFUNCTION("""COMPUTED_VALUE"""),"1027")</f>
        <v>1027</v>
      </c>
      <c r="V725" s="2" t="str">
        <f ca="1">IFERROR(__xludf.DUMMYFUNCTION("""COMPUTED_VALUE"""),"19.001.0004.0122.0131.2156.33.90.39")</f>
        <v>19.001.0004.0122.0131.2156.33.90.39</v>
      </c>
      <c r="W725" s="2" t="str">
        <f ca="1">IFERROR(__xludf.DUMMYFUNCTION("""COMPUTED_VALUE"""),"5105")</f>
        <v>5105</v>
      </c>
      <c r="X725" s="2"/>
      <c r="Y725" s="2"/>
      <c r="Z725" s="2"/>
      <c r="AA725" s="2"/>
      <c r="AB725" s="2"/>
      <c r="AC725" s="2"/>
      <c r="AD725" s="2"/>
      <c r="AE725" s="2"/>
      <c r="AF725" s="2"/>
    </row>
    <row r="726" spans="1:32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>
        <f ca="1">IFERROR(__xludf.DUMMYFUNCTION("""COMPUTED_VALUE"""),2023)</f>
        <v>2023</v>
      </c>
      <c r="Q726" s="2" t="str">
        <f ca="1">IFERROR(__xludf.DUMMYFUNCTION("""COMPUTED_VALUE"""),"0796")</f>
        <v>0796</v>
      </c>
      <c r="R726" s="2" t="str">
        <f ca="1">IFERROR(__xludf.DUMMYFUNCTION("""COMPUTED_VALUE"""),"10.007.0018.0541.0123.1042.44.90.51")</f>
        <v>10.007.0018.0541.0123.1042.44.90.51</v>
      </c>
      <c r="S726" s="2" t="str">
        <f ca="1">IFERROR(__xludf.DUMMYFUNCTION("""COMPUTED_VALUE"""),"00555")</f>
        <v>00555</v>
      </c>
      <c r="T726" s="2">
        <f ca="1">IFERROR(__xludf.DUMMYFUNCTION("""COMPUTED_VALUE"""),2024)</f>
        <v>2024</v>
      </c>
      <c r="U726" s="2" t="str">
        <f ca="1">IFERROR(__xludf.DUMMYFUNCTION("""COMPUTED_VALUE"""),"1018")</f>
        <v>1018</v>
      </c>
      <c r="V726" s="2" t="str">
        <f ca="1">IFERROR(__xludf.DUMMYFUNCTION("""COMPUTED_VALUE"""),"19.001.0004.0122.0131.2156.33.90.39")</f>
        <v>19.001.0004.0122.0131.2156.33.90.39</v>
      </c>
      <c r="W726" s="2" t="str">
        <f ca="1">IFERROR(__xludf.DUMMYFUNCTION("""COMPUTED_VALUE"""),"0")</f>
        <v>0</v>
      </c>
      <c r="X726" s="2"/>
      <c r="Y726" s="2"/>
      <c r="Z726" s="2"/>
      <c r="AA726" s="2"/>
      <c r="AB726" s="2"/>
      <c r="AC726" s="2"/>
      <c r="AD726" s="2"/>
      <c r="AE726" s="2"/>
      <c r="AF726" s="2"/>
    </row>
    <row r="727" spans="1:32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>
        <f ca="1">IFERROR(__xludf.DUMMYFUNCTION("""COMPUTED_VALUE"""),2023)</f>
        <v>2023</v>
      </c>
      <c r="Q727" s="2" t="str">
        <f ca="1">IFERROR(__xludf.DUMMYFUNCTION("""COMPUTED_VALUE"""),"0797")</f>
        <v>0797</v>
      </c>
      <c r="R727" s="2" t="str">
        <f ca="1">IFERROR(__xludf.DUMMYFUNCTION("""COMPUTED_VALUE"""),"18.001.0004.0121.0140.1006.44.90.51")</f>
        <v>18.001.0004.0121.0140.1006.44.90.51</v>
      </c>
      <c r="S727" s="2" t="str">
        <f ca="1">IFERROR(__xludf.DUMMYFUNCTION("""COMPUTED_VALUE"""),"0000")</f>
        <v>0000</v>
      </c>
      <c r="T727" s="2">
        <f ca="1">IFERROR(__xludf.DUMMYFUNCTION("""COMPUTED_VALUE"""),2024)</f>
        <v>2024</v>
      </c>
      <c r="U727" s="2" t="str">
        <f ca="1">IFERROR(__xludf.DUMMYFUNCTION("""COMPUTED_VALUE"""),"1028")</f>
        <v>1028</v>
      </c>
      <c r="V727" s="2" t="str">
        <f ca="1">IFERROR(__xludf.DUMMYFUNCTION("""COMPUTED_VALUE"""),"19.001.0004.0122.0131.2156.33.90.40")</f>
        <v>19.001.0004.0122.0131.2156.33.90.40</v>
      </c>
      <c r="W727" s="2" t="str">
        <f ca="1">IFERROR(__xludf.DUMMYFUNCTION("""COMPUTED_VALUE"""),"5105")</f>
        <v>5105</v>
      </c>
      <c r="X727" s="2"/>
      <c r="Y727" s="2"/>
      <c r="Z727" s="2"/>
      <c r="AA727" s="2"/>
      <c r="AB727" s="2"/>
      <c r="AC727" s="2"/>
      <c r="AD727" s="2"/>
      <c r="AE727" s="2"/>
      <c r="AF727" s="2"/>
    </row>
    <row r="728" spans="1:32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>
        <f ca="1">IFERROR(__xludf.DUMMYFUNCTION("""COMPUTED_VALUE"""),2023)</f>
        <v>2023</v>
      </c>
      <c r="Q728" s="2" t="str">
        <f ca="1">IFERROR(__xludf.DUMMYFUNCTION("""COMPUTED_VALUE"""),"0798")</f>
        <v>0798</v>
      </c>
      <c r="R728" s="2" t="str">
        <f ca="1">IFERROR(__xludf.DUMMYFUNCTION("""COMPUTED_VALUE"""),"18.002.0006.0181.0140.1007.44.90.51")</f>
        <v>18.002.0006.0181.0140.1007.44.90.51</v>
      </c>
      <c r="S728" s="2" t="str">
        <f ca="1">IFERROR(__xludf.DUMMYFUNCTION("""COMPUTED_VALUE"""),"0000")</f>
        <v>0000</v>
      </c>
      <c r="T728" s="2">
        <f ca="1">IFERROR(__xludf.DUMMYFUNCTION("""COMPUTED_VALUE"""),2024)</f>
        <v>2024</v>
      </c>
      <c r="U728" s="2" t="str">
        <f ca="1">IFERROR(__xludf.DUMMYFUNCTION("""COMPUTED_VALUE"""),"1019")</f>
        <v>1019</v>
      </c>
      <c r="V728" s="2" t="str">
        <f ca="1">IFERROR(__xludf.DUMMYFUNCTION("""COMPUTED_VALUE"""),"19.001.0004.0122.0131.2156.33.90.40")</f>
        <v>19.001.0004.0122.0131.2156.33.90.40</v>
      </c>
      <c r="W728" s="2" t="str">
        <f ca="1">IFERROR(__xludf.DUMMYFUNCTION("""COMPUTED_VALUE"""),"0")</f>
        <v>0</v>
      </c>
      <c r="X728" s="2"/>
      <c r="Y728" s="2"/>
      <c r="Z728" s="2"/>
      <c r="AA728" s="2"/>
      <c r="AB728" s="2"/>
      <c r="AC728" s="2"/>
      <c r="AD728" s="2"/>
      <c r="AE728" s="2"/>
      <c r="AF728" s="2"/>
    </row>
    <row r="729" spans="1:32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>
        <f ca="1">IFERROR(__xludf.DUMMYFUNCTION("""COMPUTED_VALUE"""),2023)</f>
        <v>2023</v>
      </c>
      <c r="Q729" s="2" t="str">
        <f ca="1">IFERROR(__xludf.DUMMYFUNCTION("""COMPUTED_VALUE"""),"0799")</f>
        <v>0799</v>
      </c>
      <c r="R729" s="2" t="str">
        <f ca="1">IFERROR(__xludf.DUMMYFUNCTION("""COMPUTED_VALUE"""),"18.002.0006.0181.0140.1007.44.90.51")</f>
        <v>18.002.0006.0181.0140.1007.44.90.51</v>
      </c>
      <c r="S729" s="2" t="str">
        <f ca="1">IFERROR(__xludf.DUMMYFUNCTION("""COMPUTED_VALUE"""),"01011")</f>
        <v>01011</v>
      </c>
      <c r="T729" s="2">
        <f ca="1">IFERROR(__xludf.DUMMYFUNCTION("""COMPUTED_VALUE"""),2024)</f>
        <v>2024</v>
      </c>
      <c r="U729" s="2" t="str">
        <f ca="1">IFERROR(__xludf.DUMMYFUNCTION("""COMPUTED_VALUE"""),"1029")</f>
        <v>1029</v>
      </c>
      <c r="V729" s="2" t="str">
        <f ca="1">IFERROR(__xludf.DUMMYFUNCTION("""COMPUTED_VALUE"""),"19.001.0004.0122.0131.2156.44.90.52")</f>
        <v>19.001.0004.0122.0131.2156.44.90.52</v>
      </c>
      <c r="W729" s="2" t="str">
        <f ca="1">IFERROR(__xludf.DUMMYFUNCTION("""COMPUTED_VALUE"""),"5105")</f>
        <v>5105</v>
      </c>
      <c r="X729" s="2"/>
      <c r="Y729" s="2"/>
      <c r="Z729" s="2"/>
      <c r="AA729" s="2"/>
      <c r="AB729" s="2"/>
      <c r="AC729" s="2"/>
      <c r="AD729" s="2"/>
      <c r="AE729" s="2"/>
      <c r="AF729" s="2"/>
    </row>
    <row r="730" spans="1:32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>
        <f ca="1">IFERROR(__xludf.DUMMYFUNCTION("""COMPUTED_VALUE"""),2023)</f>
        <v>2023</v>
      </c>
      <c r="Q730" s="2" t="str">
        <f ca="1">IFERROR(__xludf.DUMMYFUNCTION("""COMPUTED_VALUE"""),"0800")</f>
        <v>0800</v>
      </c>
      <c r="R730" s="2" t="str">
        <f ca="1">IFERROR(__xludf.DUMMYFUNCTION("""COMPUTED_VALUE"""),"18.003.0015.0452.0140.1010.44.90.51")</f>
        <v>18.003.0015.0452.0140.1010.44.90.51</v>
      </c>
      <c r="S730" s="2" t="str">
        <f ca="1">IFERROR(__xludf.DUMMYFUNCTION("""COMPUTED_VALUE"""),"0000")</f>
        <v>0000</v>
      </c>
      <c r="T730" s="2">
        <f ca="1">IFERROR(__xludf.DUMMYFUNCTION("""COMPUTED_VALUE"""),2024)</f>
        <v>2024</v>
      </c>
      <c r="U730" s="2" t="str">
        <f ca="1">IFERROR(__xludf.DUMMYFUNCTION("""COMPUTED_VALUE"""),"1020")</f>
        <v>1020</v>
      </c>
      <c r="V730" s="2" t="str">
        <f ca="1">IFERROR(__xludf.DUMMYFUNCTION("""COMPUTED_VALUE"""),"19.001.0004.0122.0131.2156.44.90.52")</f>
        <v>19.001.0004.0122.0131.2156.44.90.52</v>
      </c>
      <c r="W730" s="2" t="str">
        <f ca="1">IFERROR(__xludf.DUMMYFUNCTION("""COMPUTED_VALUE"""),"0")</f>
        <v>0</v>
      </c>
      <c r="X730" s="2"/>
      <c r="Y730" s="2"/>
      <c r="Z730" s="2"/>
      <c r="AA730" s="2"/>
      <c r="AB730" s="2"/>
      <c r="AC730" s="2"/>
      <c r="AD730" s="2"/>
      <c r="AE730" s="2"/>
      <c r="AF730" s="2"/>
    </row>
    <row r="731" spans="1:32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>
        <f ca="1">IFERROR(__xludf.DUMMYFUNCTION("""COMPUTED_VALUE"""),2023)</f>
        <v>2023</v>
      </c>
      <c r="Q731" s="2" t="str">
        <f ca="1">IFERROR(__xludf.DUMMYFUNCTION("""COMPUTED_VALUE"""),"0801")</f>
        <v>0801</v>
      </c>
      <c r="R731" s="2" t="str">
        <f ca="1">IFERROR(__xludf.DUMMYFUNCTION("""COMPUTED_VALUE"""),"18.003.0015.0452.0140.1010.44.90.51")</f>
        <v>18.003.0015.0452.0140.1010.44.90.51</v>
      </c>
      <c r="S731" s="2" t="str">
        <f ca="1">IFERROR(__xludf.DUMMYFUNCTION("""COMPUTED_VALUE"""),"00509")</f>
        <v>00509</v>
      </c>
      <c r="T731" s="2">
        <f ca="1">IFERROR(__xludf.DUMMYFUNCTION("""COMPUTED_VALUE"""),2024)</f>
        <v>2024</v>
      </c>
      <c r="U731" s="2" t="str">
        <f ca="1">IFERROR(__xludf.DUMMYFUNCTION("""COMPUTED_VALUE"""),"1022")</f>
        <v>1022</v>
      </c>
      <c r="V731" s="2" t="str">
        <f ca="1">IFERROR(__xludf.DUMMYFUNCTION("""COMPUTED_VALUE"""),"19.001.0004.0122.0131.2156.44.90.52")</f>
        <v>19.001.0004.0122.0131.2156.44.90.52</v>
      </c>
      <c r="W731" s="2" t="str">
        <f ca="1">IFERROR(__xludf.DUMMYFUNCTION("""COMPUTED_VALUE"""),"2")</f>
        <v>2</v>
      </c>
      <c r="X731" s="2"/>
      <c r="Y731" s="2"/>
      <c r="Z731" s="2"/>
      <c r="AA731" s="2"/>
      <c r="AB731" s="2"/>
      <c r="AC731" s="2"/>
      <c r="AD731" s="2"/>
      <c r="AE731" s="2"/>
      <c r="AF731" s="2"/>
    </row>
    <row r="732" spans="1: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>
        <f ca="1">IFERROR(__xludf.DUMMYFUNCTION("""COMPUTED_VALUE"""),2023)</f>
        <v>2023</v>
      </c>
      <c r="Q732" s="2" t="str">
        <f ca="1">IFERROR(__xludf.DUMMYFUNCTION("""COMPUTED_VALUE"""),"0802")</f>
        <v>0802</v>
      </c>
      <c r="R732" s="2" t="str">
        <f ca="1">IFERROR(__xludf.DUMMYFUNCTION("""COMPUTED_VALUE"""),"18.003.0015.0121.0140.1030.44.90.51")</f>
        <v>18.003.0015.0121.0140.1030.44.90.51</v>
      </c>
      <c r="S732" s="2" t="str">
        <f ca="1">IFERROR(__xludf.DUMMYFUNCTION("""COMPUTED_VALUE"""),"0000")</f>
        <v>0000</v>
      </c>
      <c r="T732" s="2">
        <f ca="1">IFERROR(__xludf.DUMMYFUNCTION("""COMPUTED_VALUE"""),2024)</f>
        <v>2024</v>
      </c>
      <c r="U732" s="2" t="str">
        <f ca="1">IFERROR(__xludf.DUMMYFUNCTION("""COMPUTED_VALUE"""),"1030")</f>
        <v>1030</v>
      </c>
      <c r="V732" s="2" t="str">
        <f ca="1">IFERROR(__xludf.DUMMYFUNCTION("""COMPUTED_VALUE"""),"19.001.0004.0129.0131.2155.33.90.30")</f>
        <v>19.001.0004.0129.0131.2155.33.90.30</v>
      </c>
      <c r="W732" s="2" t="str">
        <f ca="1">IFERROR(__xludf.DUMMYFUNCTION("""COMPUTED_VALUE"""),"5105")</f>
        <v>5105</v>
      </c>
      <c r="X732" s="2"/>
      <c r="Y732" s="2"/>
      <c r="Z732" s="2"/>
      <c r="AA732" s="2"/>
      <c r="AB732" s="2"/>
      <c r="AC732" s="2"/>
      <c r="AD732" s="2"/>
      <c r="AE732" s="2"/>
      <c r="AF732" s="2"/>
    </row>
    <row r="733" spans="1:32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>
        <f ca="1">IFERROR(__xludf.DUMMYFUNCTION("""COMPUTED_VALUE"""),2023)</f>
        <v>2023</v>
      </c>
      <c r="Q733" s="2" t="str">
        <f ca="1">IFERROR(__xludf.DUMMYFUNCTION("""COMPUTED_VALUE"""),"0803")</f>
        <v>0803</v>
      </c>
      <c r="R733" s="2" t="str">
        <f ca="1">IFERROR(__xludf.DUMMYFUNCTION("""COMPUTED_VALUE"""),"18.003.0015.0121.0140.1030.44.90.51")</f>
        <v>18.003.0015.0121.0140.1030.44.90.51</v>
      </c>
      <c r="S733" s="2" t="str">
        <f ca="1">IFERROR(__xludf.DUMMYFUNCTION("""COMPUTED_VALUE"""),"00509")</f>
        <v>00509</v>
      </c>
      <c r="T733" s="2">
        <f ca="1">IFERROR(__xludf.DUMMYFUNCTION("""COMPUTED_VALUE"""),2024)</f>
        <v>2024</v>
      </c>
      <c r="U733" s="2" t="str">
        <f ca="1">IFERROR(__xludf.DUMMYFUNCTION("""COMPUTED_VALUE"""),"1031")</f>
        <v>1031</v>
      </c>
      <c r="V733" s="2" t="str">
        <f ca="1">IFERROR(__xludf.DUMMYFUNCTION("""COMPUTED_VALUE"""),"19.001.0004.0129.0131.2155.33.90.30")</f>
        <v>19.001.0004.0129.0131.2155.33.90.30</v>
      </c>
      <c r="W733" s="2" t="str">
        <f ca="1">IFERROR(__xludf.DUMMYFUNCTION("""COMPUTED_VALUE"""),"0")</f>
        <v>0</v>
      </c>
      <c r="X733" s="2"/>
      <c r="Y733" s="2"/>
      <c r="Z733" s="2"/>
      <c r="AA733" s="2"/>
      <c r="AB733" s="2"/>
      <c r="AC733" s="2"/>
      <c r="AD733" s="2"/>
      <c r="AE733" s="2"/>
      <c r="AF733" s="2"/>
    </row>
    <row r="734" spans="1:32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>
        <f ca="1">IFERROR(__xludf.DUMMYFUNCTION("""COMPUTED_VALUE"""),2023)</f>
        <v>2023</v>
      </c>
      <c r="Q734" s="2" t="str">
        <f ca="1">IFERROR(__xludf.DUMMYFUNCTION("""COMPUTED_VALUE"""),"0804")</f>
        <v>0804</v>
      </c>
      <c r="R734" s="2" t="str">
        <f ca="1">IFERROR(__xludf.DUMMYFUNCTION("""COMPUTED_VALUE"""),"18.004.0006.0181.0140.1073.44.90.51")</f>
        <v>18.004.0006.0181.0140.1073.44.90.51</v>
      </c>
      <c r="S734" s="2" t="str">
        <f ca="1">IFERROR(__xludf.DUMMYFUNCTION("""COMPUTED_VALUE"""),"0000")</f>
        <v>0000</v>
      </c>
      <c r="T734" s="2">
        <f ca="1">IFERROR(__xludf.DUMMYFUNCTION("""COMPUTED_VALUE"""),2024)</f>
        <v>2024</v>
      </c>
      <c r="U734" s="2" t="str">
        <f ca="1">IFERROR(__xludf.DUMMYFUNCTION("""COMPUTED_VALUE"""),"1033")</f>
        <v>1033</v>
      </c>
      <c r="V734" s="2" t="str">
        <f ca="1">IFERROR(__xludf.DUMMYFUNCTION("""COMPUTED_VALUE"""),"19.001.0004.0129.0131.2155.33.90.39")</f>
        <v>19.001.0004.0129.0131.2155.33.90.39</v>
      </c>
      <c r="W734" s="2" t="str">
        <f ca="1">IFERROR(__xludf.DUMMYFUNCTION("""COMPUTED_VALUE"""),"5105")</f>
        <v>5105</v>
      </c>
      <c r="X734" s="2"/>
      <c r="Y734" s="2"/>
      <c r="Z734" s="2"/>
      <c r="AA734" s="2"/>
      <c r="AB734" s="2"/>
      <c r="AC734" s="2"/>
      <c r="AD734" s="2"/>
      <c r="AE734" s="2"/>
      <c r="AF734" s="2"/>
    </row>
    <row r="735" spans="1:32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>
        <f ca="1">IFERROR(__xludf.DUMMYFUNCTION("""COMPUTED_VALUE"""),2023)</f>
        <v>2023</v>
      </c>
      <c r="Q735" s="2" t="str">
        <f ca="1">IFERROR(__xludf.DUMMYFUNCTION("""COMPUTED_VALUE"""),"0805")</f>
        <v>0805</v>
      </c>
      <c r="R735" s="2" t="str">
        <f ca="1">IFERROR(__xludf.DUMMYFUNCTION("""COMPUTED_VALUE"""),"18.004.0015.0182.0140.1076.44.90.51")</f>
        <v>18.004.0015.0182.0140.1076.44.90.51</v>
      </c>
      <c r="S735" s="2" t="str">
        <f ca="1">IFERROR(__xludf.DUMMYFUNCTION("""COMPUTED_VALUE"""),"0000")</f>
        <v>0000</v>
      </c>
      <c r="T735" s="2">
        <f ca="1">IFERROR(__xludf.DUMMYFUNCTION("""COMPUTED_VALUE"""),2024)</f>
        <v>2024</v>
      </c>
      <c r="U735" s="2" t="str">
        <f ca="1">IFERROR(__xludf.DUMMYFUNCTION("""COMPUTED_VALUE"""),"1032")</f>
        <v>1032</v>
      </c>
      <c r="V735" s="2" t="str">
        <f ca="1">IFERROR(__xludf.DUMMYFUNCTION("""COMPUTED_VALUE"""),"19.001.0015.0452.0104.1084.44.90.52")</f>
        <v>19.001.0015.0452.0104.1084.44.90.52</v>
      </c>
      <c r="W735" s="2" t="str">
        <f ca="1">IFERROR(__xludf.DUMMYFUNCTION("""COMPUTED_VALUE"""),"0")</f>
        <v>0</v>
      </c>
      <c r="X735" s="2"/>
      <c r="Y735" s="2"/>
      <c r="Z735" s="2"/>
      <c r="AA735" s="2"/>
      <c r="AB735" s="2"/>
      <c r="AC735" s="2"/>
      <c r="AD735" s="2"/>
      <c r="AE735" s="2"/>
      <c r="AF735" s="2"/>
    </row>
    <row r="736" spans="1:32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>
        <f ca="1">IFERROR(__xludf.DUMMYFUNCTION("""COMPUTED_VALUE"""),2023)</f>
        <v>2023</v>
      </c>
      <c r="Q736" s="2" t="str">
        <f ca="1">IFERROR(__xludf.DUMMYFUNCTION("""COMPUTED_VALUE"""),"0806")</f>
        <v>0806</v>
      </c>
      <c r="R736" s="2" t="str">
        <f ca="1">IFERROR(__xludf.DUMMYFUNCTION("""COMPUTED_VALUE"""),"18.004.0015.0182.0140.1076.44.90.51")</f>
        <v>18.004.0015.0182.0140.1076.44.90.51</v>
      </c>
      <c r="S736" s="2" t="str">
        <f ca="1">IFERROR(__xludf.DUMMYFUNCTION("""COMPUTED_VALUE"""),"00509")</f>
        <v>00509</v>
      </c>
      <c r="T736" s="2">
        <f ca="1">IFERROR(__xludf.DUMMYFUNCTION("""COMPUTED_VALUE"""),2024)</f>
        <v>2024</v>
      </c>
      <c r="U736" s="2" t="str">
        <f ca="1">IFERROR(__xludf.DUMMYFUNCTION("""COMPUTED_VALUE"""),"1034")</f>
        <v>1034</v>
      </c>
      <c r="V736" s="2" t="str">
        <f ca="1">IFERROR(__xludf.DUMMYFUNCTION("""COMPUTED_VALUE"""),"19.001.0015.0452.0104.2158.33.90.39")</f>
        <v>19.001.0015.0452.0104.2158.33.90.39</v>
      </c>
      <c r="W736" s="2" t="str">
        <f ca="1">IFERROR(__xludf.DUMMYFUNCTION("""COMPUTED_VALUE"""),"0")</f>
        <v>0</v>
      </c>
      <c r="X736" s="2"/>
      <c r="Y736" s="2"/>
      <c r="Z736" s="2"/>
      <c r="AA736" s="2"/>
      <c r="AB736" s="2"/>
      <c r="AC736" s="2"/>
      <c r="AD736" s="2"/>
      <c r="AE736" s="2"/>
      <c r="AF736" s="2"/>
    </row>
    <row r="737" spans="1:32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>
        <f ca="1">IFERROR(__xludf.DUMMYFUNCTION("""COMPUTED_VALUE"""),2023)</f>
        <v>2023</v>
      </c>
      <c r="Q737" s="2" t="str">
        <f ca="1">IFERROR(__xludf.DUMMYFUNCTION("""COMPUTED_VALUE"""),"0807")</f>
        <v>0807</v>
      </c>
      <c r="R737" s="2" t="str">
        <f ca="1">IFERROR(__xludf.DUMMYFUNCTION("""COMPUTED_VALUE"""),"18.004.0015.0452.0140.1077.44.90.51")</f>
        <v>18.004.0015.0452.0140.1077.44.90.51</v>
      </c>
      <c r="S737" s="2" t="str">
        <f ca="1">IFERROR(__xludf.DUMMYFUNCTION("""COMPUTED_VALUE"""),"0000")</f>
        <v>0000</v>
      </c>
      <c r="T737" s="2">
        <f ca="1">IFERROR(__xludf.DUMMYFUNCTION("""COMPUTED_VALUE"""),2024)</f>
        <v>2024</v>
      </c>
      <c r="U737" s="2" t="str">
        <f ca="1">IFERROR(__xludf.DUMMYFUNCTION("""COMPUTED_VALUE"""),"1035")</f>
        <v>1035</v>
      </c>
      <c r="V737" s="2" t="str">
        <f ca="1">IFERROR(__xludf.DUMMYFUNCTION("""COMPUTED_VALUE"""),"19.001.0015.0452.0104.2158.33.90.40")</f>
        <v>19.001.0015.0452.0104.2158.33.90.40</v>
      </c>
      <c r="W737" s="2" t="str">
        <f ca="1">IFERROR(__xludf.DUMMYFUNCTION("""COMPUTED_VALUE"""),"0")</f>
        <v>0</v>
      </c>
      <c r="X737" s="2"/>
      <c r="Y737" s="2"/>
      <c r="Z737" s="2"/>
      <c r="AA737" s="2"/>
      <c r="AB737" s="2"/>
      <c r="AC737" s="2"/>
      <c r="AD737" s="2"/>
      <c r="AE737" s="2"/>
      <c r="AF737" s="2"/>
    </row>
    <row r="738" spans="1:32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>
        <f ca="1">IFERROR(__xludf.DUMMYFUNCTION("""COMPUTED_VALUE"""),2023)</f>
        <v>2023</v>
      </c>
      <c r="Q738" s="2" t="str">
        <f ca="1">IFERROR(__xludf.DUMMYFUNCTION("""COMPUTED_VALUE"""),"0808")</f>
        <v>0808</v>
      </c>
      <c r="R738" s="2" t="str">
        <f ca="1">IFERROR(__xludf.DUMMYFUNCTION("""COMPUTED_VALUE"""),"02.001.0004.0123.0022.1038.44.90.52")</f>
        <v>02.001.0004.0123.0022.1038.44.90.52</v>
      </c>
      <c r="S738" s="2" t="str">
        <f ca="1">IFERROR(__xludf.DUMMYFUNCTION("""COMPUTED_VALUE"""),"0000")</f>
        <v>0000</v>
      </c>
      <c r="T738" s="2">
        <f ca="1">IFERROR(__xludf.DUMMYFUNCTION("""COMPUTED_VALUE"""),2024)</f>
        <v>2024</v>
      </c>
      <c r="U738" s="2" t="str">
        <f ca="1">IFERROR(__xludf.DUMMYFUNCTION("""COMPUTED_VALUE"""),"1036")</f>
        <v>1036</v>
      </c>
      <c r="V738" s="2" t="str">
        <f ca="1">IFERROR(__xludf.DUMMYFUNCTION("""COMPUTED_VALUE"""),"19.001.0015.0452.0104.2158.44.90.51")</f>
        <v>19.001.0015.0452.0104.2158.44.90.51</v>
      </c>
      <c r="W738" s="2" t="str">
        <f ca="1">IFERROR(__xludf.DUMMYFUNCTION("""COMPUTED_VALUE"""),"0")</f>
        <v>0</v>
      </c>
      <c r="X738" s="2"/>
      <c r="Y738" s="2"/>
      <c r="Z738" s="2"/>
      <c r="AA738" s="2"/>
      <c r="AB738" s="2"/>
      <c r="AC738" s="2"/>
      <c r="AD738" s="2"/>
      <c r="AE738" s="2"/>
      <c r="AF738" s="2"/>
    </row>
    <row r="739" spans="1:32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>
        <f ca="1">IFERROR(__xludf.DUMMYFUNCTION("""COMPUTED_VALUE"""),2023)</f>
        <v>2023</v>
      </c>
      <c r="Q739" s="2" t="str">
        <f ca="1">IFERROR(__xludf.DUMMYFUNCTION("""COMPUTED_VALUE"""),"0809")</f>
        <v>0809</v>
      </c>
      <c r="R739" s="2" t="str">
        <f ca="1">IFERROR(__xludf.DUMMYFUNCTION("""COMPUTED_VALUE"""),"04.001.0004.0122.0040.1000.44.90.52")</f>
        <v>04.001.0004.0122.0040.1000.44.90.52</v>
      </c>
      <c r="S739" s="2" t="str">
        <f ca="1">IFERROR(__xludf.DUMMYFUNCTION("""COMPUTED_VALUE"""),"0000")</f>
        <v>0000</v>
      </c>
      <c r="T739" s="2">
        <f ca="1">IFERROR(__xludf.DUMMYFUNCTION("""COMPUTED_VALUE"""),2024)</f>
        <v>2024</v>
      </c>
      <c r="U739" s="2" t="str">
        <f ca="1">IFERROR(__xludf.DUMMYFUNCTION("""COMPUTED_VALUE"""),"1037")</f>
        <v>1037</v>
      </c>
      <c r="V739" s="2" t="str">
        <f ca="1">IFERROR(__xludf.DUMMYFUNCTION("""COMPUTED_VALUE"""),"19.001.0015.0452.0104.2158.44.90.51")</f>
        <v>19.001.0015.0452.0104.2158.44.90.51</v>
      </c>
      <c r="W739" s="2" t="str">
        <f ca="1">IFERROR(__xludf.DUMMYFUNCTION("""COMPUTED_VALUE"""),"0")</f>
        <v>0</v>
      </c>
      <c r="X739" s="2"/>
      <c r="Y739" s="2"/>
      <c r="Z739" s="2"/>
      <c r="AA739" s="2"/>
      <c r="AB739" s="2"/>
      <c r="AC739" s="2"/>
      <c r="AD739" s="2"/>
      <c r="AE739" s="2"/>
      <c r="AF739" s="2"/>
    </row>
    <row r="740" spans="1:32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>
        <f ca="1">IFERROR(__xludf.DUMMYFUNCTION("""COMPUTED_VALUE"""),2023)</f>
        <v>2023</v>
      </c>
      <c r="Q740" s="2" t="str">
        <f ca="1">IFERROR(__xludf.DUMMYFUNCTION("""COMPUTED_VALUE"""),"0810")</f>
        <v>0810</v>
      </c>
      <c r="R740" s="2" t="str">
        <f ca="1">IFERROR(__xludf.DUMMYFUNCTION("""COMPUTED_VALUE"""),"04.001.0004.0122.0040.1000.44.90.52")</f>
        <v>04.001.0004.0122.0040.1000.44.90.52</v>
      </c>
      <c r="S740" s="2" t="str">
        <f ca="1">IFERROR(__xludf.DUMMYFUNCTION("""COMPUTED_VALUE"""),"00501")</f>
        <v>00501</v>
      </c>
      <c r="T740" s="2">
        <f ca="1">IFERROR(__xludf.DUMMYFUNCTION("""COMPUTED_VALUE"""),2024)</f>
        <v>2024</v>
      </c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</row>
    <row r="741" spans="1:32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>
        <f ca="1">IFERROR(__xludf.DUMMYFUNCTION("""COMPUTED_VALUE"""),2023)</f>
        <v>2023</v>
      </c>
      <c r="Q741" s="2" t="str">
        <f ca="1">IFERROR(__xludf.DUMMYFUNCTION("""COMPUTED_VALUE"""),"0811")</f>
        <v>0811</v>
      </c>
      <c r="R741" s="2" t="str">
        <f ca="1">IFERROR(__xludf.DUMMYFUNCTION("""COMPUTED_VALUE"""),"13.001.0004.0124.0051.1027.44.90.52")</f>
        <v>13.001.0004.0124.0051.1027.44.90.52</v>
      </c>
      <c r="S741" s="2" t="str">
        <f ca="1">IFERROR(__xludf.DUMMYFUNCTION("""COMPUTED_VALUE"""),"0000")</f>
        <v>0000</v>
      </c>
      <c r="T741" s="2">
        <f ca="1">IFERROR(__xludf.DUMMYFUNCTION("""COMPUTED_VALUE"""),2024)</f>
        <v>2024</v>
      </c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</row>
    <row r="742" spans="1:3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>
        <f ca="1">IFERROR(__xludf.DUMMYFUNCTION("""COMPUTED_VALUE"""),2023)</f>
        <v>2023</v>
      </c>
      <c r="Q742" s="2" t="str">
        <f ca="1">IFERROR(__xludf.DUMMYFUNCTION("""COMPUTED_VALUE"""),"0812")</f>
        <v>0812</v>
      </c>
      <c r="R742" s="2" t="str">
        <f ca="1">IFERROR(__xludf.DUMMYFUNCTION("""COMPUTED_VALUE"""),"05.003.0012.0365.0074.5002.44.90.52")</f>
        <v>05.003.0012.0365.0074.5002.44.90.52</v>
      </c>
      <c r="S742" s="2" t="str">
        <f ca="1">IFERROR(__xludf.DUMMYFUNCTION("""COMPUTED_VALUE"""),"00103")</f>
        <v>00103</v>
      </c>
      <c r="T742" s="2">
        <f ca="1">IFERROR(__xludf.DUMMYFUNCTION("""COMPUTED_VALUE"""),2024)</f>
        <v>2024</v>
      </c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</row>
    <row r="743" spans="1:32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>
        <f ca="1">IFERROR(__xludf.DUMMYFUNCTION("""COMPUTED_VALUE"""),2023)</f>
        <v>2023</v>
      </c>
      <c r="Q743" s="2" t="str">
        <f ca="1">IFERROR(__xludf.DUMMYFUNCTION("""COMPUTED_VALUE"""),"0813")</f>
        <v>0813</v>
      </c>
      <c r="R743" s="2" t="str">
        <f ca="1">IFERROR(__xludf.DUMMYFUNCTION("""COMPUTED_VALUE"""),"05.003.0012.0361.0074.5003.44.90.52")</f>
        <v>05.003.0012.0361.0074.5003.44.90.52</v>
      </c>
      <c r="S743" s="2" t="str">
        <f ca="1">IFERROR(__xludf.DUMMYFUNCTION("""COMPUTED_VALUE"""),"00102")</f>
        <v>00102</v>
      </c>
      <c r="T743" s="2">
        <f ca="1">IFERROR(__xludf.DUMMYFUNCTION("""COMPUTED_VALUE"""),2024)</f>
        <v>2024</v>
      </c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</row>
    <row r="744" spans="1:32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>
        <f ca="1">IFERROR(__xludf.DUMMYFUNCTION("""COMPUTED_VALUE"""),2023)</f>
        <v>2023</v>
      </c>
      <c r="Q744" s="2" t="str">
        <f ca="1">IFERROR(__xludf.DUMMYFUNCTION("""COMPUTED_VALUE"""),"0814")</f>
        <v>0814</v>
      </c>
      <c r="R744" s="2" t="str">
        <f ca="1">IFERROR(__xludf.DUMMYFUNCTION("""COMPUTED_VALUE"""),"05.003.0012.0361.0074.5003.44.90.52")</f>
        <v>05.003.0012.0361.0074.5003.44.90.52</v>
      </c>
      <c r="S744" s="2" t="str">
        <f ca="1">IFERROR(__xludf.DUMMYFUNCTION("""COMPUTED_VALUE"""),"00104")</f>
        <v>00104</v>
      </c>
      <c r="T744" s="2">
        <f ca="1">IFERROR(__xludf.DUMMYFUNCTION("""COMPUTED_VALUE"""),2024)</f>
        <v>2024</v>
      </c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</row>
    <row r="745" spans="1:32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>
        <f ca="1">IFERROR(__xludf.DUMMYFUNCTION("""COMPUTED_VALUE"""),2023)</f>
        <v>2023</v>
      </c>
      <c r="Q745" s="2" t="str">
        <f ca="1">IFERROR(__xludf.DUMMYFUNCTION("""COMPUTED_VALUE"""),"0815")</f>
        <v>0815</v>
      </c>
      <c r="R745" s="2" t="str">
        <f ca="1">IFERROR(__xludf.DUMMYFUNCTION("""COMPUTED_VALUE"""),"05.003.0012.0361.0074.5010.44.90.52")</f>
        <v>05.003.0012.0361.0074.5010.44.90.52</v>
      </c>
      <c r="S745" s="2" t="str">
        <f ca="1">IFERROR(__xludf.DUMMYFUNCTION("""COMPUTED_VALUE"""),"00107")</f>
        <v>00107</v>
      </c>
      <c r="T745" s="2">
        <f ca="1">IFERROR(__xludf.DUMMYFUNCTION("""COMPUTED_VALUE"""),2024)</f>
        <v>2024</v>
      </c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</row>
    <row r="746" spans="1:32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>
        <f ca="1">IFERROR(__xludf.DUMMYFUNCTION("""COMPUTED_VALUE"""),2023)</f>
        <v>2023</v>
      </c>
      <c r="Q746" s="2" t="str">
        <f ca="1">IFERROR(__xludf.DUMMYFUNCTION("""COMPUTED_VALUE"""),"0816")</f>
        <v>0816</v>
      </c>
      <c r="R746" s="2" t="str">
        <f ca="1">IFERROR(__xludf.DUMMYFUNCTION("""COMPUTED_VALUE"""),"05.003.0012.0365.0074.5011.44.90.52")</f>
        <v>05.003.0012.0365.0074.5011.44.90.52</v>
      </c>
      <c r="S746" s="2" t="str">
        <f ca="1">IFERROR(__xludf.DUMMYFUNCTION("""COMPUTED_VALUE"""),"00107")</f>
        <v>00107</v>
      </c>
      <c r="T746" s="2">
        <f ca="1">IFERROR(__xludf.DUMMYFUNCTION("""COMPUTED_VALUE"""),2024)</f>
        <v>2024</v>
      </c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</row>
    <row r="747" spans="1:32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>
        <f ca="1">IFERROR(__xludf.DUMMYFUNCTION("""COMPUTED_VALUE"""),2023)</f>
        <v>2023</v>
      </c>
      <c r="Q747" s="2" t="str">
        <f ca="1">IFERROR(__xludf.DUMMYFUNCTION("""COMPUTED_VALUE"""),"0817")</f>
        <v>0817</v>
      </c>
      <c r="R747" s="2" t="str">
        <f ca="1">IFERROR(__xludf.DUMMYFUNCTION("""COMPUTED_VALUE"""),"11.002.0013.0392.0082.1003.44.90.52")</f>
        <v>11.002.0013.0392.0082.1003.44.90.52</v>
      </c>
      <c r="S747" s="2" t="str">
        <f ca="1">IFERROR(__xludf.DUMMYFUNCTION("""COMPUTED_VALUE"""),"0000")</f>
        <v>0000</v>
      </c>
      <c r="T747" s="2">
        <f ca="1">IFERROR(__xludf.DUMMYFUNCTION("""COMPUTED_VALUE"""),2024)</f>
        <v>2024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</row>
    <row r="748" spans="1:32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>
        <f ca="1">IFERROR(__xludf.DUMMYFUNCTION("""COMPUTED_VALUE"""),2023)</f>
        <v>2023</v>
      </c>
      <c r="Q748" s="2" t="str">
        <f ca="1">IFERROR(__xludf.DUMMYFUNCTION("""COMPUTED_VALUE"""),"0818")</f>
        <v>0818</v>
      </c>
      <c r="R748" s="2" t="str">
        <f ca="1">IFERROR(__xludf.DUMMYFUNCTION("""COMPUTED_VALUE"""),"11.007.0013.0392.0082.2017.44.90.52")</f>
        <v>11.007.0013.0392.0082.2017.44.90.52</v>
      </c>
      <c r="S748" s="2" t="str">
        <f ca="1">IFERROR(__xludf.DUMMYFUNCTION("""COMPUTED_VALUE"""),"00032")</f>
        <v>00032</v>
      </c>
      <c r="T748" s="2">
        <f ca="1">IFERROR(__xludf.DUMMYFUNCTION("""COMPUTED_VALUE"""),2024)</f>
        <v>2024</v>
      </c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</row>
    <row r="749" spans="1:32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>
        <f ca="1">IFERROR(__xludf.DUMMYFUNCTION("""COMPUTED_VALUE"""),2023)</f>
        <v>2023</v>
      </c>
      <c r="Q749" s="2" t="str">
        <f ca="1">IFERROR(__xludf.DUMMYFUNCTION("""COMPUTED_VALUE"""),"0819")</f>
        <v>0819</v>
      </c>
      <c r="R749" s="2" t="str">
        <f ca="1">IFERROR(__xludf.DUMMYFUNCTION("""COMPUTED_VALUE"""),"11.003.0027.0812.0083.1005.44.90.52")</f>
        <v>11.003.0027.0812.0083.1005.44.90.52</v>
      </c>
      <c r="S749" s="2" t="str">
        <f ca="1">IFERROR(__xludf.DUMMYFUNCTION("""COMPUTED_VALUE"""),"0000")</f>
        <v>0000</v>
      </c>
      <c r="T749" s="2">
        <f ca="1">IFERROR(__xludf.DUMMYFUNCTION("""COMPUTED_VALUE"""),2024)</f>
        <v>2024</v>
      </c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</row>
    <row r="750" spans="1:32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>
        <f ca="1">IFERROR(__xludf.DUMMYFUNCTION("""COMPUTED_VALUE"""),2023)</f>
        <v>2023</v>
      </c>
      <c r="Q750" s="2" t="str">
        <f ca="1">IFERROR(__xludf.DUMMYFUNCTION("""COMPUTED_VALUE"""),"0820")</f>
        <v>0820</v>
      </c>
      <c r="R750" s="2" t="str">
        <f ca="1">IFERROR(__xludf.DUMMYFUNCTION("""COMPUTED_VALUE"""),"11.003.0027.0812.0083.2016.44.90.52")</f>
        <v>11.003.0027.0812.0083.2016.44.90.52</v>
      </c>
      <c r="S750" s="2" t="str">
        <f ca="1">IFERROR(__xludf.DUMMYFUNCTION("""COMPUTED_VALUE"""),"00038")</f>
        <v>00038</v>
      </c>
      <c r="T750" s="2">
        <f ca="1">IFERROR(__xludf.DUMMYFUNCTION("""COMPUTED_VALUE"""),2024)</f>
        <v>2024</v>
      </c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</row>
    <row r="751" spans="1:32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>
        <f ca="1">IFERROR(__xludf.DUMMYFUNCTION("""COMPUTED_VALUE"""),2023)</f>
        <v>2023</v>
      </c>
      <c r="Q751" s="2" t="str">
        <f ca="1">IFERROR(__xludf.DUMMYFUNCTION("""COMPUTED_VALUE"""),"0821")</f>
        <v>0821</v>
      </c>
      <c r="R751" s="2" t="str">
        <f ca="1">IFERROR(__xludf.DUMMYFUNCTION("""COMPUTED_VALUE"""),"06.001.0010.0301.0094.1015.44.90.52")</f>
        <v>06.001.0010.0301.0094.1015.44.90.52</v>
      </c>
      <c r="S751" s="2" t="str">
        <f ca="1">IFERROR(__xludf.DUMMYFUNCTION("""COMPUTED_VALUE"""),"00303")</f>
        <v>00303</v>
      </c>
      <c r="T751" s="2">
        <f ca="1">IFERROR(__xludf.DUMMYFUNCTION("""COMPUTED_VALUE"""),2024)</f>
        <v>2024</v>
      </c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</row>
    <row r="752" spans="1:3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>
        <f ca="1">IFERROR(__xludf.DUMMYFUNCTION("""COMPUTED_VALUE"""),2023)</f>
        <v>2023</v>
      </c>
      <c r="Q752" s="2" t="str">
        <f ca="1">IFERROR(__xludf.DUMMYFUNCTION("""COMPUTED_VALUE"""),"0822")</f>
        <v>0822</v>
      </c>
      <c r="R752" s="2" t="str">
        <f ca="1">IFERROR(__xludf.DUMMYFUNCTION("""COMPUTED_VALUE"""),"06.001.0010.0301.0094.1015.44.90.52")</f>
        <v>06.001.0010.0301.0094.1015.44.90.52</v>
      </c>
      <c r="S752" s="2" t="str">
        <f ca="1">IFERROR(__xludf.DUMMYFUNCTION("""COMPUTED_VALUE"""),"00500")</f>
        <v>00500</v>
      </c>
      <c r="T752" s="2">
        <f ca="1">IFERROR(__xludf.DUMMYFUNCTION("""COMPUTED_VALUE"""),2024)</f>
        <v>2024</v>
      </c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</row>
    <row r="753" spans="1:32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>
        <f ca="1">IFERROR(__xludf.DUMMYFUNCTION("""COMPUTED_VALUE"""),2023)</f>
        <v>2023</v>
      </c>
      <c r="Q753" s="2" t="str">
        <f ca="1">IFERROR(__xludf.DUMMYFUNCTION("""COMPUTED_VALUE"""),"0823")</f>
        <v>0823</v>
      </c>
      <c r="R753" s="2" t="str">
        <f ca="1">IFERROR(__xludf.DUMMYFUNCTION("""COMPUTED_VALUE"""),"06.001.0010.0301.0094.1015.44.90.52")</f>
        <v>06.001.0010.0301.0094.1015.44.90.52</v>
      </c>
      <c r="S753" s="2" t="str">
        <f ca="1">IFERROR(__xludf.DUMMYFUNCTION("""COMPUTED_VALUE"""),"05181")</f>
        <v>05181</v>
      </c>
      <c r="T753" s="2">
        <f ca="1">IFERROR(__xludf.DUMMYFUNCTION("""COMPUTED_VALUE"""),2024)</f>
        <v>2024</v>
      </c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</row>
    <row r="754" spans="1:32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>
        <f ca="1">IFERROR(__xludf.DUMMYFUNCTION("""COMPUTED_VALUE"""),2023)</f>
        <v>2023</v>
      </c>
      <c r="Q754" s="2" t="str">
        <f ca="1">IFERROR(__xludf.DUMMYFUNCTION("""COMPUTED_VALUE"""),"0824")</f>
        <v>0824</v>
      </c>
      <c r="R754" s="2" t="str">
        <f ca="1">IFERROR(__xludf.DUMMYFUNCTION("""COMPUTED_VALUE"""),"06.001.0010.0301.0094.1015.44.90.52")</f>
        <v>06.001.0010.0301.0094.1015.44.90.52</v>
      </c>
      <c r="S754" s="2" t="str">
        <f ca="1">IFERROR(__xludf.DUMMYFUNCTION("""COMPUTED_VALUE"""),"05182")</f>
        <v>05182</v>
      </c>
      <c r="T754" s="2">
        <f ca="1">IFERROR(__xludf.DUMMYFUNCTION("""COMPUTED_VALUE"""),2024)</f>
        <v>2024</v>
      </c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</row>
    <row r="755" spans="1:32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>
        <f ca="1">IFERROR(__xludf.DUMMYFUNCTION("""COMPUTED_VALUE"""),2023)</f>
        <v>2023</v>
      </c>
      <c r="Q755" s="2" t="str">
        <f ca="1">IFERROR(__xludf.DUMMYFUNCTION("""COMPUTED_VALUE"""),"0825")</f>
        <v>0825</v>
      </c>
      <c r="R755" s="2" t="str">
        <f ca="1">IFERROR(__xludf.DUMMYFUNCTION("""COMPUTED_VALUE"""),"06.001.0010.0305.0094.1018.44.90.52")</f>
        <v>06.001.0010.0305.0094.1018.44.90.52</v>
      </c>
      <c r="S755" s="2" t="str">
        <f ca="1">IFERROR(__xludf.DUMMYFUNCTION("""COMPUTED_VALUE"""),"00303")</f>
        <v>00303</v>
      </c>
      <c r="T755" s="2">
        <f ca="1">IFERROR(__xludf.DUMMYFUNCTION("""COMPUTED_VALUE"""),2024)</f>
        <v>2024</v>
      </c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</row>
    <row r="756" spans="1:32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>
        <f ca="1">IFERROR(__xludf.DUMMYFUNCTION("""COMPUTED_VALUE"""),2023)</f>
        <v>2023</v>
      </c>
      <c r="Q756" s="2" t="str">
        <f ca="1">IFERROR(__xludf.DUMMYFUNCTION("""COMPUTED_VALUE"""),"0826")</f>
        <v>0826</v>
      </c>
      <c r="R756" s="2" t="str">
        <f ca="1">IFERROR(__xludf.DUMMYFUNCTION("""COMPUTED_VALUE"""),"06.001.0010.0305.0094.1018.44.90.52")</f>
        <v>06.001.0010.0305.0094.1018.44.90.52</v>
      </c>
      <c r="S756" s="2" t="str">
        <f ca="1">IFERROR(__xludf.DUMMYFUNCTION("""COMPUTED_VALUE"""),"05108")</f>
        <v>05108</v>
      </c>
      <c r="T756" s="2">
        <f ca="1">IFERROR(__xludf.DUMMYFUNCTION("""COMPUTED_VALUE"""),2024)</f>
        <v>2024</v>
      </c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</row>
    <row r="757" spans="1:32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>
        <f ca="1">IFERROR(__xludf.DUMMYFUNCTION("""COMPUTED_VALUE"""),2023)</f>
        <v>2023</v>
      </c>
      <c r="Q757" s="2" t="str">
        <f ca="1">IFERROR(__xludf.DUMMYFUNCTION("""COMPUTED_VALUE"""),"0827")</f>
        <v>0827</v>
      </c>
      <c r="R757" s="2" t="str">
        <f ca="1">IFERROR(__xludf.DUMMYFUNCTION("""COMPUTED_VALUE"""),"06.001.0010.0301.0094.1019.44.90.52")</f>
        <v>06.001.0010.0301.0094.1019.44.90.52</v>
      </c>
      <c r="S757" s="2" t="str">
        <f ca="1">IFERROR(__xludf.DUMMYFUNCTION("""COMPUTED_VALUE"""),"00303")</f>
        <v>00303</v>
      </c>
      <c r="T757" s="2">
        <f ca="1">IFERROR(__xludf.DUMMYFUNCTION("""COMPUTED_VALUE"""),2024)</f>
        <v>2024</v>
      </c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</row>
    <row r="758" spans="1:32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>
        <f ca="1">IFERROR(__xludf.DUMMYFUNCTION("""COMPUTED_VALUE"""),2023)</f>
        <v>2023</v>
      </c>
      <c r="Q758" s="2" t="str">
        <f ca="1">IFERROR(__xludf.DUMMYFUNCTION("""COMPUTED_VALUE"""),"0828")</f>
        <v>0828</v>
      </c>
      <c r="R758" s="2" t="str">
        <f ca="1">IFERROR(__xludf.DUMMYFUNCTION("""COMPUTED_VALUE"""),"06.001.0010.0302.0094.1020.44.90.52")</f>
        <v>06.001.0010.0302.0094.1020.44.90.52</v>
      </c>
      <c r="S758" s="2" t="str">
        <f ca="1">IFERROR(__xludf.DUMMYFUNCTION("""COMPUTED_VALUE"""),"00303")</f>
        <v>00303</v>
      </c>
      <c r="T758" s="2">
        <f ca="1">IFERROR(__xludf.DUMMYFUNCTION("""COMPUTED_VALUE"""),2024)</f>
        <v>2024</v>
      </c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</row>
    <row r="759" spans="1:32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>
        <f ca="1">IFERROR(__xludf.DUMMYFUNCTION("""COMPUTED_VALUE"""),2023)</f>
        <v>2023</v>
      </c>
      <c r="Q759" s="2" t="str">
        <f ca="1">IFERROR(__xludf.DUMMYFUNCTION("""COMPUTED_VALUE"""),"0831")</f>
        <v>0831</v>
      </c>
      <c r="R759" s="2" t="str">
        <f ca="1">IFERROR(__xludf.DUMMYFUNCTION("""COMPUTED_VALUE"""),"06.001.0010.0302.0094.1022.44.90.52")</f>
        <v>06.001.0010.0302.0094.1022.44.90.52</v>
      </c>
      <c r="S759" s="2" t="str">
        <f ca="1">IFERROR(__xludf.DUMMYFUNCTION("""COMPUTED_VALUE"""),"00303")</f>
        <v>00303</v>
      </c>
      <c r="T759" s="2">
        <f ca="1">IFERROR(__xludf.DUMMYFUNCTION("""COMPUTED_VALUE"""),2024)</f>
        <v>2024</v>
      </c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</row>
    <row r="760" spans="1:32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>
        <f ca="1">IFERROR(__xludf.DUMMYFUNCTION("""COMPUTED_VALUE"""),2023)</f>
        <v>2023</v>
      </c>
      <c r="Q760" s="2" t="str">
        <f ca="1">IFERROR(__xludf.DUMMYFUNCTION("""COMPUTED_VALUE"""),"0833")</f>
        <v>0833</v>
      </c>
      <c r="R760" s="2" t="str">
        <f ca="1">IFERROR(__xludf.DUMMYFUNCTION("""COMPUTED_VALUE"""),"06.001.0010.0304.0094.1024.44.90.52")</f>
        <v>06.001.0010.0304.0094.1024.44.90.52</v>
      </c>
      <c r="S760" s="2" t="str">
        <f ca="1">IFERROR(__xludf.DUMMYFUNCTION("""COMPUTED_VALUE"""),"00303")</f>
        <v>00303</v>
      </c>
      <c r="T760" s="2">
        <f ca="1">IFERROR(__xludf.DUMMYFUNCTION("""COMPUTED_VALUE"""),2024)</f>
        <v>2024</v>
      </c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</row>
    <row r="761" spans="1:32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>
        <f ca="1">IFERROR(__xludf.DUMMYFUNCTION("""COMPUTED_VALUE"""),2023)</f>
        <v>2023</v>
      </c>
      <c r="Q761" s="2" t="str">
        <f ca="1">IFERROR(__xludf.DUMMYFUNCTION("""COMPUTED_VALUE"""),"0834")</f>
        <v>0834</v>
      </c>
      <c r="R761" s="2" t="str">
        <f ca="1">IFERROR(__xludf.DUMMYFUNCTION("""COMPUTED_VALUE"""),"06.001.0010.0304.0094.1024.44.90.52")</f>
        <v>06.001.0010.0304.0094.1024.44.90.52</v>
      </c>
      <c r="S761" s="2" t="str">
        <f ca="1">IFERROR(__xludf.DUMMYFUNCTION("""COMPUTED_VALUE"""),"05101")</f>
        <v>05101</v>
      </c>
      <c r="T761" s="2">
        <f ca="1">IFERROR(__xludf.DUMMYFUNCTION("""COMPUTED_VALUE"""),2024)</f>
        <v>2024</v>
      </c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</row>
    <row r="762" spans="1:3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>
        <f ca="1">IFERROR(__xludf.DUMMYFUNCTION("""COMPUTED_VALUE"""),2023)</f>
        <v>2023</v>
      </c>
      <c r="Q762" s="2" t="str">
        <f ca="1">IFERROR(__xludf.DUMMYFUNCTION("""COMPUTED_VALUE"""),"0835")</f>
        <v>0835</v>
      </c>
      <c r="R762" s="2" t="str">
        <f ca="1">IFERROR(__xludf.DUMMYFUNCTION("""COMPUTED_VALUE"""),"06.001.0010.0302.0094.1026.44.90.52")</f>
        <v>06.001.0010.0302.0094.1026.44.90.52</v>
      </c>
      <c r="S762" s="2" t="str">
        <f ca="1">IFERROR(__xludf.DUMMYFUNCTION("""COMPUTED_VALUE"""),"00303")</f>
        <v>00303</v>
      </c>
      <c r="T762" s="2">
        <f ca="1">IFERROR(__xludf.DUMMYFUNCTION("""COMPUTED_VALUE"""),2024)</f>
        <v>2024</v>
      </c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</row>
    <row r="763" spans="1:32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>
        <f ca="1">IFERROR(__xludf.DUMMYFUNCTION("""COMPUTED_VALUE"""),2023)</f>
        <v>2023</v>
      </c>
      <c r="Q763" s="2" t="str">
        <f ca="1">IFERROR(__xludf.DUMMYFUNCTION("""COMPUTED_VALUE"""),"0836")</f>
        <v>0836</v>
      </c>
      <c r="R763" s="2" t="str">
        <f ca="1">IFERROR(__xludf.DUMMYFUNCTION("""COMPUTED_VALUE"""),"06.001.0010.0122.0094.1056.44.90.52")</f>
        <v>06.001.0010.0122.0094.1056.44.90.52</v>
      </c>
      <c r="S763" s="2" t="str">
        <f ca="1">IFERROR(__xludf.DUMMYFUNCTION("""COMPUTED_VALUE"""),"00303")</f>
        <v>00303</v>
      </c>
      <c r="T763" s="2">
        <f ca="1">IFERROR(__xludf.DUMMYFUNCTION("""COMPUTED_VALUE"""),2024)</f>
        <v>2024</v>
      </c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</row>
    <row r="764" spans="1:32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>
        <f ca="1">IFERROR(__xludf.DUMMYFUNCTION("""COMPUTED_VALUE"""),2023)</f>
        <v>2023</v>
      </c>
      <c r="Q764" s="2" t="str">
        <f ca="1">IFERROR(__xludf.DUMMYFUNCTION("""COMPUTED_VALUE"""),"0838")</f>
        <v>0838</v>
      </c>
      <c r="R764" s="2" t="str">
        <f ca="1">IFERROR(__xludf.DUMMYFUNCTION("""COMPUTED_VALUE"""),"07.001.0004.0122.0104.1043.44.90.52")</f>
        <v>07.001.0004.0122.0104.1043.44.90.52</v>
      </c>
      <c r="S764" s="2" t="str">
        <f ca="1">IFERROR(__xludf.DUMMYFUNCTION("""COMPUTED_VALUE"""),"0000")</f>
        <v>0000</v>
      </c>
      <c r="T764" s="2">
        <f ca="1">IFERROR(__xludf.DUMMYFUNCTION("""COMPUTED_VALUE"""),2024)</f>
        <v>2024</v>
      </c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</row>
    <row r="765" spans="1:32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>
        <f ca="1">IFERROR(__xludf.DUMMYFUNCTION("""COMPUTED_VALUE"""),2023)</f>
        <v>2023</v>
      </c>
      <c r="Q765" s="2" t="str">
        <f ca="1">IFERROR(__xludf.DUMMYFUNCTION("""COMPUTED_VALUE"""),"0839")</f>
        <v>0839</v>
      </c>
      <c r="R765" s="2" t="str">
        <f ca="1">IFERROR(__xludf.DUMMYFUNCTION("""COMPUTED_VALUE"""),"07.005.0015.0452.0104.1044.44.90.52")</f>
        <v>07.005.0015.0452.0104.1044.44.90.52</v>
      </c>
      <c r="S765" s="2" t="str">
        <f ca="1">IFERROR(__xludf.DUMMYFUNCTION("""COMPUTED_VALUE"""),"0000")</f>
        <v>0000</v>
      </c>
      <c r="T765" s="2">
        <f ca="1">IFERROR(__xludf.DUMMYFUNCTION("""COMPUTED_VALUE"""),2024)</f>
        <v>2024</v>
      </c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</row>
    <row r="766" spans="1:32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>
        <f ca="1">IFERROR(__xludf.DUMMYFUNCTION("""COMPUTED_VALUE"""),2023)</f>
        <v>2023</v>
      </c>
      <c r="Q766" s="2" t="str">
        <f ca="1">IFERROR(__xludf.DUMMYFUNCTION("""COMPUTED_VALUE"""),"0840")</f>
        <v>0840</v>
      </c>
      <c r="R766" s="2" t="str">
        <f ca="1">IFERROR(__xludf.DUMMYFUNCTION("""COMPUTED_VALUE"""),"07.005.0015.0452.0104.1044.44.90.52")</f>
        <v>07.005.0015.0452.0104.1044.44.90.52</v>
      </c>
      <c r="S766" s="2" t="str">
        <f ca="1">IFERROR(__xludf.DUMMYFUNCTION("""COMPUTED_VALUE"""),"00613")</f>
        <v>00613</v>
      </c>
      <c r="T766" s="2">
        <f ca="1">IFERROR(__xludf.DUMMYFUNCTION("""COMPUTED_VALUE"""),2024)</f>
        <v>2024</v>
      </c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</row>
    <row r="767" spans="1:32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>
        <f ca="1">IFERROR(__xludf.DUMMYFUNCTION("""COMPUTED_VALUE"""),2023)</f>
        <v>2023</v>
      </c>
      <c r="Q767" s="2" t="str">
        <f ca="1">IFERROR(__xludf.DUMMYFUNCTION("""COMPUTED_VALUE"""),"0841")</f>
        <v>0841</v>
      </c>
      <c r="R767" s="2" t="str">
        <f ca="1">IFERROR(__xludf.DUMMYFUNCTION("""COMPUTED_VALUE"""),"07.007.0015.0452.0104.1053.44.90.52")</f>
        <v>07.007.0015.0452.0104.1053.44.90.52</v>
      </c>
      <c r="S767" s="2" t="str">
        <f ca="1">IFERROR(__xludf.DUMMYFUNCTION("""COMPUTED_VALUE"""),"0000")</f>
        <v>0000</v>
      </c>
      <c r="T767" s="2">
        <f ca="1">IFERROR(__xludf.DUMMYFUNCTION("""COMPUTED_VALUE"""),2024)</f>
        <v>2024</v>
      </c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</row>
    <row r="768" spans="1:32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>
        <f ca="1">IFERROR(__xludf.DUMMYFUNCTION("""COMPUTED_VALUE"""),2023)</f>
        <v>2023</v>
      </c>
      <c r="Q768" s="2" t="str">
        <f ca="1">IFERROR(__xludf.DUMMYFUNCTION("""COMPUTED_VALUE"""),"0842")</f>
        <v>0842</v>
      </c>
      <c r="R768" s="2" t="str">
        <f ca="1">IFERROR(__xludf.DUMMYFUNCTION("""COMPUTED_VALUE"""),"07.006.0015.0452.0104.1054.44.90.52")</f>
        <v>07.006.0015.0452.0104.1054.44.90.52</v>
      </c>
      <c r="S768" s="2" t="str">
        <f ca="1">IFERROR(__xludf.DUMMYFUNCTION("""COMPUTED_VALUE"""),"0000")</f>
        <v>0000</v>
      </c>
      <c r="T768" s="2">
        <f ca="1">IFERROR(__xludf.DUMMYFUNCTION("""COMPUTED_VALUE"""),2024)</f>
        <v>2024</v>
      </c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</row>
    <row r="769" spans="1:32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>
        <f ca="1">IFERROR(__xludf.DUMMYFUNCTION("""COMPUTED_VALUE"""),2023)</f>
        <v>2023</v>
      </c>
      <c r="Q769" s="2" t="str">
        <f ca="1">IFERROR(__xludf.DUMMYFUNCTION("""COMPUTED_VALUE"""),"0843")</f>
        <v>0843</v>
      </c>
      <c r="R769" s="2" t="str">
        <f ca="1">IFERROR(__xludf.DUMMYFUNCTION("""COMPUTED_VALUE"""),"07.003.0015.0452.0104.2135.44.90.52")</f>
        <v>07.003.0015.0452.0104.2135.44.90.52</v>
      </c>
      <c r="S769" s="2" t="str">
        <f ca="1">IFERROR(__xludf.DUMMYFUNCTION("""COMPUTED_VALUE"""),"0000")</f>
        <v>0000</v>
      </c>
      <c r="T769" s="2">
        <f ca="1">IFERROR(__xludf.DUMMYFUNCTION("""COMPUTED_VALUE"""),2024)</f>
        <v>2024</v>
      </c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</row>
    <row r="770" spans="1:32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>
        <f ca="1">IFERROR(__xludf.DUMMYFUNCTION("""COMPUTED_VALUE"""),2023)</f>
        <v>2023</v>
      </c>
      <c r="Q770" s="2" t="str">
        <f ca="1">IFERROR(__xludf.DUMMYFUNCTION("""COMPUTED_VALUE"""),"0844")</f>
        <v>0844</v>
      </c>
      <c r="R770" s="2" t="str">
        <f ca="1">IFERROR(__xludf.DUMMYFUNCTION("""COMPUTED_VALUE"""),"07.003.0015.0452.0107.1045.44.90.52")</f>
        <v>07.003.0015.0452.0107.1045.44.90.52</v>
      </c>
      <c r="S770" s="2" t="str">
        <f ca="1">IFERROR(__xludf.DUMMYFUNCTION("""COMPUTED_VALUE"""),"0000")</f>
        <v>0000</v>
      </c>
      <c r="T770" s="2">
        <f ca="1">IFERROR(__xludf.DUMMYFUNCTION("""COMPUTED_VALUE"""),2024)</f>
        <v>2024</v>
      </c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</row>
    <row r="771" spans="1:32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>
        <f ca="1">IFERROR(__xludf.DUMMYFUNCTION("""COMPUTED_VALUE"""),2023)</f>
        <v>2023</v>
      </c>
      <c r="Q771" s="2" t="str">
        <f ca="1">IFERROR(__xludf.DUMMYFUNCTION("""COMPUTED_VALUE"""),"0845")</f>
        <v>0845</v>
      </c>
      <c r="R771" s="2" t="str">
        <f ca="1">IFERROR(__xludf.DUMMYFUNCTION("""COMPUTED_VALUE"""),"07.003.0015.0452.0107.1045.44.90.52")</f>
        <v>07.003.0015.0452.0107.1045.44.90.52</v>
      </c>
      <c r="S771" s="2" t="str">
        <f ca="1">IFERROR(__xludf.DUMMYFUNCTION("""COMPUTED_VALUE"""),"00507")</f>
        <v>00507</v>
      </c>
      <c r="T771" s="2">
        <f ca="1">IFERROR(__xludf.DUMMYFUNCTION("""COMPUTED_VALUE"""),2024)</f>
        <v>2024</v>
      </c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</row>
    <row r="772" spans="1:3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>
        <f ca="1">IFERROR(__xludf.DUMMYFUNCTION("""COMPUTED_VALUE"""),2023)</f>
        <v>2023</v>
      </c>
      <c r="Q772" s="2" t="str">
        <f ca="1">IFERROR(__xludf.DUMMYFUNCTION("""COMPUTED_VALUE"""),"0846")</f>
        <v>0846</v>
      </c>
      <c r="R772" s="2" t="str">
        <f ca="1">IFERROR(__xludf.DUMMYFUNCTION("""COMPUTED_VALUE"""),"12.001.0004.0122.0113.2129.44.90.52")</f>
        <v>12.001.0004.0122.0113.2129.44.90.52</v>
      </c>
      <c r="S772" s="2" t="str">
        <f ca="1">IFERROR(__xludf.DUMMYFUNCTION("""COMPUTED_VALUE"""),"0000")</f>
        <v>0000</v>
      </c>
      <c r="T772" s="2">
        <f ca="1">IFERROR(__xludf.DUMMYFUNCTION("""COMPUTED_VALUE"""),2024)</f>
        <v>2024</v>
      </c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</row>
    <row r="773" spans="1:32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>
        <f ca="1">IFERROR(__xludf.DUMMYFUNCTION("""COMPUTED_VALUE"""),2023)</f>
        <v>2023</v>
      </c>
      <c r="Q773" s="2" t="str">
        <f ca="1">IFERROR(__xludf.DUMMYFUNCTION("""COMPUTED_VALUE"""),"0847")</f>
        <v>0847</v>
      </c>
      <c r="R773" s="2" t="str">
        <f ca="1">IFERROR(__xludf.DUMMYFUNCTION("""COMPUTED_VALUE"""),"12.004.0023.0691.0113.2140.44.90.52")</f>
        <v>12.004.0023.0691.0113.2140.44.90.52</v>
      </c>
      <c r="S773" s="2" t="str">
        <f ca="1">IFERROR(__xludf.DUMMYFUNCTION("""COMPUTED_VALUE"""),"0000")</f>
        <v>0000</v>
      </c>
      <c r="T773" s="2">
        <f ca="1">IFERROR(__xludf.DUMMYFUNCTION("""COMPUTED_VALUE"""),2024)</f>
        <v>2024</v>
      </c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</row>
    <row r="774" spans="1:32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>
        <f ca="1">IFERROR(__xludf.DUMMYFUNCTION("""COMPUTED_VALUE"""),2023)</f>
        <v>2023</v>
      </c>
      <c r="Q774" s="2" t="str">
        <f ca="1">IFERROR(__xludf.DUMMYFUNCTION("""COMPUTED_VALUE"""),"0848")</f>
        <v>0848</v>
      </c>
      <c r="R774" s="2" t="str">
        <f ca="1">IFERROR(__xludf.DUMMYFUNCTION("""COMPUTED_VALUE"""),"08.001.0008.0244.0118.1011.44.90.52")</f>
        <v>08.001.0008.0244.0118.1011.44.90.52</v>
      </c>
      <c r="S774" s="2" t="str">
        <f ca="1">IFERROR(__xludf.DUMMYFUNCTION("""COMPUTED_VALUE"""),"0000")</f>
        <v>0000</v>
      </c>
      <c r="T774" s="2">
        <f ca="1">IFERROR(__xludf.DUMMYFUNCTION("""COMPUTED_VALUE"""),2024)</f>
        <v>2024</v>
      </c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</row>
    <row r="775" spans="1:32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>
        <f ca="1">IFERROR(__xludf.DUMMYFUNCTION("""COMPUTED_VALUE"""),2023)</f>
        <v>2023</v>
      </c>
      <c r="Q775" s="2" t="str">
        <f ca="1">IFERROR(__xludf.DUMMYFUNCTION("""COMPUTED_VALUE"""),"0849")</f>
        <v>0849</v>
      </c>
      <c r="R775" s="2" t="str">
        <f ca="1">IFERROR(__xludf.DUMMYFUNCTION("""COMPUTED_VALUE"""),"08.003.0008.0244.0118.1013.44.90.52")</f>
        <v>08.003.0008.0244.0118.1013.44.90.52</v>
      </c>
      <c r="S775" s="2" t="str">
        <f ca="1">IFERROR(__xludf.DUMMYFUNCTION("""COMPUTED_VALUE"""),"0000")</f>
        <v>0000</v>
      </c>
      <c r="T775" s="2">
        <f ca="1">IFERROR(__xludf.DUMMYFUNCTION("""COMPUTED_VALUE"""),2024)</f>
        <v>2024</v>
      </c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</row>
    <row r="776" spans="1:32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>
        <f ca="1">IFERROR(__xludf.DUMMYFUNCTION("""COMPUTED_VALUE"""),2023)</f>
        <v>2023</v>
      </c>
      <c r="Q776" s="2" t="str">
        <f ca="1">IFERROR(__xludf.DUMMYFUNCTION("""COMPUTED_VALUE"""),"0850")</f>
        <v>0850</v>
      </c>
      <c r="R776" s="2" t="str">
        <f ca="1">IFERROR(__xludf.DUMMYFUNCTION("""COMPUTED_VALUE"""),"08.003.0008.0244.0118.1013.44.90.52")</f>
        <v>08.003.0008.0244.0118.1013.44.90.52</v>
      </c>
      <c r="S776" s="2" t="str">
        <f ca="1">IFERROR(__xludf.DUMMYFUNCTION("""COMPUTED_VALUE"""),"00934")</f>
        <v>00934</v>
      </c>
      <c r="T776" s="2">
        <f ca="1">IFERROR(__xludf.DUMMYFUNCTION("""COMPUTED_VALUE"""),2024)</f>
        <v>2024</v>
      </c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</row>
    <row r="777" spans="1:32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>
        <f ca="1">IFERROR(__xludf.DUMMYFUNCTION("""COMPUTED_VALUE"""),2023)</f>
        <v>2023</v>
      </c>
      <c r="Q777" s="2" t="str">
        <f ca="1">IFERROR(__xludf.DUMMYFUNCTION("""COMPUTED_VALUE"""),"0851")</f>
        <v>0851</v>
      </c>
      <c r="R777" s="2" t="str">
        <f ca="1">IFERROR(__xludf.DUMMYFUNCTION("""COMPUTED_VALUE"""),"08.003.0008.0244.0118.1013.44.90.52")</f>
        <v>08.003.0008.0244.0118.1013.44.90.52</v>
      </c>
      <c r="S777" s="2" t="str">
        <f ca="1">IFERROR(__xludf.DUMMYFUNCTION("""COMPUTED_VALUE"""),"00940")</f>
        <v>00940</v>
      </c>
      <c r="T777" s="2">
        <f ca="1">IFERROR(__xludf.DUMMYFUNCTION("""COMPUTED_VALUE"""),2024)</f>
        <v>2024</v>
      </c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</row>
    <row r="778" spans="1:32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>
        <f ca="1">IFERROR(__xludf.DUMMYFUNCTION("""COMPUTED_VALUE"""),2023)</f>
        <v>2023</v>
      </c>
      <c r="Q778" s="2" t="str">
        <f ca="1">IFERROR(__xludf.DUMMYFUNCTION("""COMPUTED_VALUE"""),"0852")</f>
        <v>0852</v>
      </c>
      <c r="R778" s="2" t="str">
        <f ca="1">IFERROR(__xludf.DUMMYFUNCTION("""COMPUTED_VALUE"""),"08.003.0008.0244.0118.1013.44.90.52")</f>
        <v>08.003.0008.0244.0118.1013.44.90.52</v>
      </c>
      <c r="S778" s="2" t="str">
        <f ca="1">IFERROR(__xludf.DUMMYFUNCTION("""COMPUTED_VALUE"""),"09341")</f>
        <v>09341</v>
      </c>
      <c r="T778" s="2">
        <f ca="1">IFERROR(__xludf.DUMMYFUNCTION("""COMPUTED_VALUE"""),2024)</f>
        <v>2024</v>
      </c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</row>
    <row r="779" spans="1:32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>
        <f ca="1">IFERROR(__xludf.DUMMYFUNCTION("""COMPUTED_VALUE"""),2023)</f>
        <v>2023</v>
      </c>
      <c r="Q779" s="2" t="str">
        <f ca="1">IFERROR(__xludf.DUMMYFUNCTION("""COMPUTED_VALUE"""),"0853")</f>
        <v>0853</v>
      </c>
      <c r="R779" s="2" t="str">
        <f ca="1">IFERROR(__xludf.DUMMYFUNCTION("""COMPUTED_VALUE"""),"08.007.0008.0241.0118.1014.44.90.52")</f>
        <v>08.007.0008.0241.0118.1014.44.90.52</v>
      </c>
      <c r="S779" s="2" t="str">
        <f ca="1">IFERROR(__xludf.DUMMYFUNCTION("""COMPUTED_VALUE"""),"0000")</f>
        <v>0000</v>
      </c>
      <c r="T779" s="2">
        <f ca="1">IFERROR(__xludf.DUMMYFUNCTION("""COMPUTED_VALUE"""),2024)</f>
        <v>2024</v>
      </c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</row>
    <row r="780" spans="1:32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>
        <f ca="1">IFERROR(__xludf.DUMMYFUNCTION("""COMPUTED_VALUE"""),2023)</f>
        <v>2023</v>
      </c>
      <c r="Q780" s="2" t="str">
        <f ca="1">IFERROR(__xludf.DUMMYFUNCTION("""COMPUTED_VALUE"""),"0854")</f>
        <v>0854</v>
      </c>
      <c r="R780" s="2" t="str">
        <f ca="1">IFERROR(__xludf.DUMMYFUNCTION("""COMPUTED_VALUE"""),"08.005.0008.0243.0118.5000.44.90.52")</f>
        <v>08.005.0008.0243.0118.5000.44.90.52</v>
      </c>
      <c r="S780" s="2" t="str">
        <f ca="1">IFERROR(__xludf.DUMMYFUNCTION("""COMPUTED_VALUE"""),"0000")</f>
        <v>0000</v>
      </c>
      <c r="T780" s="2">
        <f ca="1">IFERROR(__xludf.DUMMYFUNCTION("""COMPUTED_VALUE"""),2024)</f>
        <v>2024</v>
      </c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</row>
    <row r="781" spans="1:32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>
        <f ca="1">IFERROR(__xludf.DUMMYFUNCTION("""COMPUTED_VALUE"""),2023)</f>
        <v>2023</v>
      </c>
      <c r="Q781" s="2" t="str">
        <f ca="1">IFERROR(__xludf.DUMMYFUNCTION("""COMPUTED_VALUE"""),"0855")</f>
        <v>0855</v>
      </c>
      <c r="R781" s="2" t="str">
        <f ca="1">IFERROR(__xludf.DUMMYFUNCTION("""COMPUTED_VALUE"""),"08.005.0008.0243.0118.5000.44.90.52")</f>
        <v>08.005.0008.0243.0118.5000.44.90.52</v>
      </c>
      <c r="S781" s="2" t="str">
        <f ca="1">IFERROR(__xludf.DUMMYFUNCTION("""COMPUTED_VALUE"""),"00880")</f>
        <v>00880</v>
      </c>
      <c r="T781" s="2">
        <f ca="1">IFERROR(__xludf.DUMMYFUNCTION("""COMPUTED_VALUE"""),2024)</f>
        <v>2024</v>
      </c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</row>
    <row r="782" spans="1:3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>
        <f ca="1">IFERROR(__xludf.DUMMYFUNCTION("""COMPUTED_VALUE"""),2023)</f>
        <v>2023</v>
      </c>
      <c r="Q782" s="2" t="str">
        <f ca="1">IFERROR(__xludf.DUMMYFUNCTION("""COMPUTED_VALUE"""),"0856")</f>
        <v>0856</v>
      </c>
      <c r="R782" s="2" t="str">
        <f ca="1">IFERROR(__xludf.DUMMYFUNCTION("""COMPUTED_VALUE"""),"08.003.0008.0243.0118.5001.44.90.52")</f>
        <v>08.003.0008.0243.0118.5001.44.90.52</v>
      </c>
      <c r="S782" s="2" t="str">
        <f ca="1">IFERROR(__xludf.DUMMYFUNCTION("""COMPUTED_VALUE"""),"0000")</f>
        <v>0000</v>
      </c>
      <c r="T782" s="2">
        <f ca="1">IFERROR(__xludf.DUMMYFUNCTION("""COMPUTED_VALUE"""),2024)</f>
        <v>2024</v>
      </c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</row>
    <row r="783" spans="1:32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>
        <f ca="1">IFERROR(__xludf.DUMMYFUNCTION("""COMPUTED_VALUE"""),2023)</f>
        <v>2023</v>
      </c>
      <c r="Q783" s="2" t="str">
        <f ca="1">IFERROR(__xludf.DUMMYFUNCTION("""COMPUTED_VALUE"""),"0857")</f>
        <v>0857</v>
      </c>
      <c r="R783" s="2" t="str">
        <f ca="1">IFERROR(__xludf.DUMMYFUNCTION("""COMPUTED_VALUE"""),"08.003.0008.0243.0118.5001.44.90.52")</f>
        <v>08.003.0008.0243.0118.5001.44.90.52</v>
      </c>
      <c r="S783" s="2" t="str">
        <f ca="1">IFERROR(__xludf.DUMMYFUNCTION("""COMPUTED_VALUE"""),"09391")</f>
        <v>09391</v>
      </c>
      <c r="T783" s="2">
        <f ca="1">IFERROR(__xludf.DUMMYFUNCTION("""COMPUTED_VALUE"""),2024)</f>
        <v>2024</v>
      </c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</row>
    <row r="784" spans="1:32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>
        <f ca="1">IFERROR(__xludf.DUMMYFUNCTION("""COMPUTED_VALUE"""),2023)</f>
        <v>2023</v>
      </c>
      <c r="Q784" s="2" t="str">
        <f ca="1">IFERROR(__xludf.DUMMYFUNCTION("""COMPUTED_VALUE"""),"0858")</f>
        <v>0858</v>
      </c>
      <c r="R784" s="2" t="str">
        <f ca="1">IFERROR(__xludf.DUMMYFUNCTION("""COMPUTED_VALUE"""),"16.001.0015.0451.0122.1037.44.90.52")</f>
        <v>16.001.0015.0451.0122.1037.44.90.52</v>
      </c>
      <c r="S784" s="2" t="str">
        <f ca="1">IFERROR(__xludf.DUMMYFUNCTION("""COMPUTED_VALUE"""),"0000")</f>
        <v>0000</v>
      </c>
      <c r="T784" s="2">
        <f ca="1">IFERROR(__xludf.DUMMYFUNCTION("""COMPUTED_VALUE"""),2024)</f>
        <v>2024</v>
      </c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</row>
    <row r="785" spans="1:32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>
        <f ca="1">IFERROR(__xludf.DUMMYFUNCTION("""COMPUTED_VALUE"""),2023)</f>
        <v>2023</v>
      </c>
      <c r="Q785" s="2" t="str">
        <f ca="1">IFERROR(__xludf.DUMMYFUNCTION("""COMPUTED_VALUE"""),"0859")</f>
        <v>0859</v>
      </c>
      <c r="R785" s="2" t="str">
        <f ca="1">IFERROR(__xludf.DUMMYFUNCTION("""COMPUTED_VALUE"""),"16.001.0015.0451.0122.1037.44.90.52")</f>
        <v>16.001.0015.0451.0122.1037.44.90.52</v>
      </c>
      <c r="S785" s="2" t="str">
        <f ca="1">IFERROR(__xludf.DUMMYFUNCTION("""COMPUTED_VALUE"""),"05104")</f>
        <v>05104</v>
      </c>
      <c r="T785" s="2">
        <f ca="1">IFERROR(__xludf.DUMMYFUNCTION("""COMPUTED_VALUE"""),2024)</f>
        <v>2024</v>
      </c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</row>
    <row r="786" spans="1:32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>
        <f ca="1">IFERROR(__xludf.DUMMYFUNCTION("""COMPUTED_VALUE"""),2023)</f>
        <v>2023</v>
      </c>
      <c r="Q786" s="2" t="str">
        <f ca="1">IFERROR(__xludf.DUMMYFUNCTION("""COMPUTED_VALUE"""),"0860")</f>
        <v>0860</v>
      </c>
      <c r="R786" s="2" t="str">
        <f ca="1">IFERROR(__xludf.DUMMYFUNCTION("""COMPUTED_VALUE"""),"10.001.0004.0122.0123.1039.44.90.52")</f>
        <v>10.001.0004.0122.0123.1039.44.90.52</v>
      </c>
      <c r="S786" s="2" t="str">
        <f ca="1">IFERROR(__xludf.DUMMYFUNCTION("""COMPUTED_VALUE"""),"0000")</f>
        <v>0000</v>
      </c>
      <c r="T786" s="2">
        <f ca="1">IFERROR(__xludf.DUMMYFUNCTION("""COMPUTED_VALUE"""),2024)</f>
        <v>2024</v>
      </c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</row>
    <row r="787" spans="1:32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>
        <f ca="1">IFERROR(__xludf.DUMMYFUNCTION("""COMPUTED_VALUE"""),2023)</f>
        <v>2023</v>
      </c>
      <c r="Q787" s="2" t="str">
        <f ca="1">IFERROR(__xludf.DUMMYFUNCTION("""COMPUTED_VALUE"""),"0861")</f>
        <v>0861</v>
      </c>
      <c r="R787" s="2" t="str">
        <f ca="1">IFERROR(__xludf.DUMMYFUNCTION("""COMPUTED_VALUE"""),"10.006.0018.0541.0123.1041.44.90.52")</f>
        <v>10.006.0018.0541.0123.1041.44.90.52</v>
      </c>
      <c r="S787" s="2" t="str">
        <f ca="1">IFERROR(__xludf.DUMMYFUNCTION("""COMPUTED_VALUE"""),"00555")</f>
        <v>00555</v>
      </c>
      <c r="T787" s="2">
        <f ca="1">IFERROR(__xludf.DUMMYFUNCTION("""COMPUTED_VALUE"""),2024)</f>
        <v>2024</v>
      </c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</row>
    <row r="788" spans="1:32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>
        <f ca="1">IFERROR(__xludf.DUMMYFUNCTION("""COMPUTED_VALUE"""),2023)</f>
        <v>2023</v>
      </c>
      <c r="Q788" s="2" t="str">
        <f ca="1">IFERROR(__xludf.DUMMYFUNCTION("""COMPUTED_VALUE"""),"0862")</f>
        <v>0862</v>
      </c>
      <c r="R788" s="2" t="str">
        <f ca="1">IFERROR(__xludf.DUMMYFUNCTION("""COMPUTED_VALUE"""),"10.006.0018.0541.0123.1041.44.90.52")</f>
        <v>10.006.0018.0541.0123.1041.44.90.52</v>
      </c>
      <c r="S788" s="2" t="str">
        <f ca="1">IFERROR(__xludf.DUMMYFUNCTION("""COMPUTED_VALUE"""),"05103")</f>
        <v>05103</v>
      </c>
      <c r="T788" s="2">
        <f ca="1">IFERROR(__xludf.DUMMYFUNCTION("""COMPUTED_VALUE"""),2024)</f>
        <v>2024</v>
      </c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</row>
    <row r="789" spans="1:32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>
        <f ca="1">IFERROR(__xludf.DUMMYFUNCTION("""COMPUTED_VALUE"""),2023)</f>
        <v>2023</v>
      </c>
      <c r="Q789" s="2" t="str">
        <f ca="1">IFERROR(__xludf.DUMMYFUNCTION("""COMPUTED_VALUE"""),"0863")</f>
        <v>0863</v>
      </c>
      <c r="R789" s="2" t="str">
        <f ca="1">IFERROR(__xludf.DUMMYFUNCTION("""COMPUTED_VALUE"""),"10.007.0018.0541.0123.1042.44.90.52")</f>
        <v>10.007.0018.0541.0123.1042.44.90.52</v>
      </c>
      <c r="S789" s="2" t="str">
        <f ca="1">IFERROR(__xludf.DUMMYFUNCTION("""COMPUTED_VALUE"""),"00555")</f>
        <v>00555</v>
      </c>
      <c r="T789" s="2">
        <f ca="1">IFERROR(__xludf.DUMMYFUNCTION("""COMPUTED_VALUE"""),2024)</f>
        <v>2024</v>
      </c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</row>
    <row r="790" spans="1:32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>
        <f ca="1">IFERROR(__xludf.DUMMYFUNCTION("""COMPUTED_VALUE"""),2023)</f>
        <v>2023</v>
      </c>
      <c r="Q790" s="2" t="str">
        <f ca="1">IFERROR(__xludf.DUMMYFUNCTION("""COMPUTED_VALUE"""),"0865")</f>
        <v>0865</v>
      </c>
      <c r="R790" s="2" t="str">
        <f ca="1">IFERROR(__xludf.DUMMYFUNCTION("""COMPUTED_VALUE"""),"18.001.0004.0121.0140.1006.44.90.52")</f>
        <v>18.001.0004.0121.0140.1006.44.90.52</v>
      </c>
      <c r="S790" s="2" t="str">
        <f ca="1">IFERROR(__xludf.DUMMYFUNCTION("""COMPUTED_VALUE"""),"0000")</f>
        <v>0000</v>
      </c>
      <c r="T790" s="2">
        <f ca="1">IFERROR(__xludf.DUMMYFUNCTION("""COMPUTED_VALUE"""),2024)</f>
        <v>2024</v>
      </c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</row>
    <row r="791" spans="1:32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>
        <f ca="1">IFERROR(__xludf.DUMMYFUNCTION("""COMPUTED_VALUE"""),2023)</f>
        <v>2023</v>
      </c>
      <c r="Q791" s="2" t="str">
        <f ca="1">IFERROR(__xludf.DUMMYFUNCTION("""COMPUTED_VALUE"""),"0866")</f>
        <v>0866</v>
      </c>
      <c r="R791" s="2" t="str">
        <f ca="1">IFERROR(__xludf.DUMMYFUNCTION("""COMPUTED_VALUE"""),"18.002.0006.0181.0140.1007.44.90.52")</f>
        <v>18.002.0006.0181.0140.1007.44.90.52</v>
      </c>
      <c r="S791" s="2" t="str">
        <f ca="1">IFERROR(__xludf.DUMMYFUNCTION("""COMPUTED_VALUE"""),"0000")</f>
        <v>0000</v>
      </c>
      <c r="T791" s="2">
        <f ca="1">IFERROR(__xludf.DUMMYFUNCTION("""COMPUTED_VALUE"""),2024)</f>
        <v>2024</v>
      </c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</row>
    <row r="792" spans="1:3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>
        <f ca="1">IFERROR(__xludf.DUMMYFUNCTION("""COMPUTED_VALUE"""),2023)</f>
        <v>2023</v>
      </c>
      <c r="Q792" s="2" t="str">
        <f ca="1">IFERROR(__xludf.DUMMYFUNCTION("""COMPUTED_VALUE"""),"0867")</f>
        <v>0867</v>
      </c>
      <c r="R792" s="2" t="str">
        <f ca="1">IFERROR(__xludf.DUMMYFUNCTION("""COMPUTED_VALUE"""),"18.002.0006.0181.0140.1007.44.90.52")</f>
        <v>18.002.0006.0181.0140.1007.44.90.52</v>
      </c>
      <c r="S792" s="2" t="str">
        <f ca="1">IFERROR(__xludf.DUMMYFUNCTION("""COMPUTED_VALUE"""),"01011")</f>
        <v>01011</v>
      </c>
      <c r="T792" s="2">
        <f ca="1">IFERROR(__xludf.DUMMYFUNCTION("""COMPUTED_VALUE"""),2024)</f>
        <v>2024</v>
      </c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</row>
    <row r="793" spans="1:32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>
        <f ca="1">IFERROR(__xludf.DUMMYFUNCTION("""COMPUTED_VALUE"""),2023)</f>
        <v>2023</v>
      </c>
      <c r="Q793" s="2" t="str">
        <f ca="1">IFERROR(__xludf.DUMMYFUNCTION("""COMPUTED_VALUE"""),"0868")</f>
        <v>0868</v>
      </c>
      <c r="R793" s="2" t="str">
        <f ca="1">IFERROR(__xludf.DUMMYFUNCTION("""COMPUTED_VALUE"""),"18.002.0006.0182.0140.1008.44.90.52")</f>
        <v>18.002.0006.0182.0140.1008.44.90.52</v>
      </c>
      <c r="S793" s="2" t="str">
        <f ca="1">IFERROR(__xludf.DUMMYFUNCTION("""COMPUTED_VALUE"""),"0000")</f>
        <v>0000</v>
      </c>
      <c r="T793" s="2">
        <f ca="1">IFERROR(__xludf.DUMMYFUNCTION("""COMPUTED_VALUE"""),2024)</f>
        <v>2024</v>
      </c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</row>
    <row r="794" spans="1:32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>
        <f ca="1">IFERROR(__xludf.DUMMYFUNCTION("""COMPUTED_VALUE"""),2023)</f>
        <v>2023</v>
      </c>
      <c r="Q794" s="2" t="str">
        <f ca="1">IFERROR(__xludf.DUMMYFUNCTION("""COMPUTED_VALUE"""),"0869")</f>
        <v>0869</v>
      </c>
      <c r="R794" s="2" t="str">
        <f ca="1">IFERROR(__xludf.DUMMYFUNCTION("""COMPUTED_VALUE"""),"18.002.0006.0182.0140.1009.44.90.52")</f>
        <v>18.002.0006.0182.0140.1009.44.90.52</v>
      </c>
      <c r="S794" s="2" t="str">
        <f ca="1">IFERROR(__xludf.DUMMYFUNCTION("""COMPUTED_VALUE"""),"0000")</f>
        <v>0000</v>
      </c>
      <c r="T794" s="2">
        <f ca="1">IFERROR(__xludf.DUMMYFUNCTION("""COMPUTED_VALUE"""),2024)</f>
        <v>2024</v>
      </c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</row>
    <row r="795" spans="1:32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>
        <f ca="1">IFERROR(__xludf.DUMMYFUNCTION("""COMPUTED_VALUE"""),2023)</f>
        <v>2023</v>
      </c>
      <c r="Q795" s="2" t="str">
        <f ca="1">IFERROR(__xludf.DUMMYFUNCTION("""COMPUTED_VALUE"""),"0870")</f>
        <v>0870</v>
      </c>
      <c r="R795" s="2" t="str">
        <f ca="1">IFERROR(__xludf.DUMMYFUNCTION("""COMPUTED_VALUE"""),"18.003.0015.0452.0140.1010.44.90.52")</f>
        <v>18.003.0015.0452.0140.1010.44.90.52</v>
      </c>
      <c r="S795" s="2" t="str">
        <f ca="1">IFERROR(__xludf.DUMMYFUNCTION("""COMPUTED_VALUE"""),"0000")</f>
        <v>0000</v>
      </c>
      <c r="T795" s="2">
        <f ca="1">IFERROR(__xludf.DUMMYFUNCTION("""COMPUTED_VALUE"""),2024)</f>
        <v>2024</v>
      </c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</row>
    <row r="796" spans="1:32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>
        <f ca="1">IFERROR(__xludf.DUMMYFUNCTION("""COMPUTED_VALUE"""),2023)</f>
        <v>2023</v>
      </c>
      <c r="Q796" s="2" t="str">
        <f ca="1">IFERROR(__xludf.DUMMYFUNCTION("""COMPUTED_VALUE"""),"0871")</f>
        <v>0871</v>
      </c>
      <c r="R796" s="2" t="str">
        <f ca="1">IFERROR(__xludf.DUMMYFUNCTION("""COMPUTED_VALUE"""),"18.003.0015.0452.0140.1010.44.90.52")</f>
        <v>18.003.0015.0452.0140.1010.44.90.52</v>
      </c>
      <c r="S796" s="2" t="str">
        <f ca="1">IFERROR(__xludf.DUMMYFUNCTION("""COMPUTED_VALUE"""),"00509")</f>
        <v>00509</v>
      </c>
      <c r="T796" s="2">
        <f ca="1">IFERROR(__xludf.DUMMYFUNCTION("""COMPUTED_VALUE"""),2024)</f>
        <v>2024</v>
      </c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</row>
    <row r="797" spans="1:32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>
        <f ca="1">IFERROR(__xludf.DUMMYFUNCTION("""COMPUTED_VALUE"""),2023)</f>
        <v>2023</v>
      </c>
      <c r="Q797" s="2" t="str">
        <f ca="1">IFERROR(__xludf.DUMMYFUNCTION("""COMPUTED_VALUE"""),"0872")</f>
        <v>0872</v>
      </c>
      <c r="R797" s="2" t="str">
        <f ca="1">IFERROR(__xludf.DUMMYFUNCTION("""COMPUTED_VALUE"""),"18.003.0015.0121.0140.1030.44.90.52")</f>
        <v>18.003.0015.0121.0140.1030.44.90.52</v>
      </c>
      <c r="S797" s="2" t="str">
        <f ca="1">IFERROR(__xludf.DUMMYFUNCTION("""COMPUTED_VALUE"""),"0000")</f>
        <v>0000</v>
      </c>
      <c r="T797" s="2">
        <f ca="1">IFERROR(__xludf.DUMMYFUNCTION("""COMPUTED_VALUE"""),2024)</f>
        <v>2024</v>
      </c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</row>
    <row r="798" spans="1:32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>
        <f ca="1">IFERROR(__xludf.DUMMYFUNCTION("""COMPUTED_VALUE"""),2023)</f>
        <v>2023</v>
      </c>
      <c r="Q798" s="2" t="str">
        <f ca="1">IFERROR(__xludf.DUMMYFUNCTION("""COMPUTED_VALUE"""),"0873")</f>
        <v>0873</v>
      </c>
      <c r="R798" s="2" t="str">
        <f ca="1">IFERROR(__xludf.DUMMYFUNCTION("""COMPUTED_VALUE"""),"18.003.0015.0121.0140.1030.44.90.52")</f>
        <v>18.003.0015.0121.0140.1030.44.90.52</v>
      </c>
      <c r="S798" s="2" t="str">
        <f ca="1">IFERROR(__xludf.DUMMYFUNCTION("""COMPUTED_VALUE"""),"00509")</f>
        <v>00509</v>
      </c>
      <c r="T798" s="2">
        <f ca="1">IFERROR(__xludf.DUMMYFUNCTION("""COMPUTED_VALUE"""),2024)</f>
        <v>2024</v>
      </c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</row>
    <row r="799" spans="1:32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>
        <f ca="1">IFERROR(__xludf.DUMMYFUNCTION("""COMPUTED_VALUE"""),2023)</f>
        <v>2023</v>
      </c>
      <c r="Q799" s="2" t="str">
        <f ca="1">IFERROR(__xludf.DUMMYFUNCTION("""COMPUTED_VALUE"""),"0874")</f>
        <v>0874</v>
      </c>
      <c r="R799" s="2" t="str">
        <f ca="1">IFERROR(__xludf.DUMMYFUNCTION("""COMPUTED_VALUE"""),"18.004.0006.0181.0140.1073.44.90.52")</f>
        <v>18.004.0006.0181.0140.1073.44.90.52</v>
      </c>
      <c r="S799" s="2" t="str">
        <f ca="1">IFERROR(__xludf.DUMMYFUNCTION("""COMPUTED_VALUE"""),"0000")</f>
        <v>0000</v>
      </c>
      <c r="T799" s="2">
        <f ca="1">IFERROR(__xludf.DUMMYFUNCTION("""COMPUTED_VALUE"""),2024)</f>
        <v>2024</v>
      </c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</row>
    <row r="800" spans="1:32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>
        <f ca="1">IFERROR(__xludf.DUMMYFUNCTION("""COMPUTED_VALUE"""),2023)</f>
        <v>2023</v>
      </c>
      <c r="Q800" s="2" t="str">
        <f ca="1">IFERROR(__xludf.DUMMYFUNCTION("""COMPUTED_VALUE"""),"0875")</f>
        <v>0875</v>
      </c>
      <c r="R800" s="2" t="str">
        <f ca="1">IFERROR(__xludf.DUMMYFUNCTION("""COMPUTED_VALUE"""),"18.004.0006.0181.0140.1073.44.90.52")</f>
        <v>18.004.0006.0181.0140.1073.44.90.52</v>
      </c>
      <c r="S800" s="2" t="str">
        <f ca="1">IFERROR(__xludf.DUMMYFUNCTION("""COMPUTED_VALUE"""),"01011")</f>
        <v>01011</v>
      </c>
      <c r="T800" s="2">
        <f ca="1">IFERROR(__xludf.DUMMYFUNCTION("""COMPUTED_VALUE"""),2024)</f>
        <v>2024</v>
      </c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</row>
    <row r="801" spans="1:32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>
        <f ca="1">IFERROR(__xludf.DUMMYFUNCTION("""COMPUTED_VALUE"""),2023)</f>
        <v>2023</v>
      </c>
      <c r="Q801" s="2" t="str">
        <f ca="1">IFERROR(__xludf.DUMMYFUNCTION("""COMPUTED_VALUE"""),"0876")</f>
        <v>0876</v>
      </c>
      <c r="R801" s="2" t="str">
        <f ca="1">IFERROR(__xludf.DUMMYFUNCTION("""COMPUTED_VALUE"""),"18.004.0006.0182.0140.1074.44.90.52")</f>
        <v>18.004.0006.0182.0140.1074.44.90.52</v>
      </c>
      <c r="S801" s="2" t="str">
        <f ca="1">IFERROR(__xludf.DUMMYFUNCTION("""COMPUTED_VALUE"""),"0000")</f>
        <v>0000</v>
      </c>
      <c r="T801" s="2">
        <f ca="1">IFERROR(__xludf.DUMMYFUNCTION("""COMPUTED_VALUE"""),2024)</f>
        <v>2024</v>
      </c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</row>
    <row r="802" spans="1:3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>
        <f ca="1">IFERROR(__xludf.DUMMYFUNCTION("""COMPUTED_VALUE"""),2023)</f>
        <v>2023</v>
      </c>
      <c r="Q802" s="2" t="str">
        <f ca="1">IFERROR(__xludf.DUMMYFUNCTION("""COMPUTED_VALUE"""),"0877")</f>
        <v>0877</v>
      </c>
      <c r="R802" s="2" t="str">
        <f ca="1">IFERROR(__xludf.DUMMYFUNCTION("""COMPUTED_VALUE"""),"18.004.0006.0182.0140.1075.44.90.52")</f>
        <v>18.004.0006.0182.0140.1075.44.90.52</v>
      </c>
      <c r="S802" s="2" t="str">
        <f ca="1">IFERROR(__xludf.DUMMYFUNCTION("""COMPUTED_VALUE"""),"0000")</f>
        <v>0000</v>
      </c>
      <c r="T802" s="2">
        <f ca="1">IFERROR(__xludf.DUMMYFUNCTION("""COMPUTED_VALUE"""),2024)</f>
        <v>2024</v>
      </c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</row>
    <row r="803" spans="1:32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>
        <f ca="1">IFERROR(__xludf.DUMMYFUNCTION("""COMPUTED_VALUE"""),2023)</f>
        <v>2023</v>
      </c>
      <c r="Q803" s="2" t="str">
        <f ca="1">IFERROR(__xludf.DUMMYFUNCTION("""COMPUTED_VALUE"""),"0878")</f>
        <v>0878</v>
      </c>
      <c r="R803" s="2" t="str">
        <f ca="1">IFERROR(__xludf.DUMMYFUNCTION("""COMPUTED_VALUE"""),"18.004.0015.0182.0140.1076.44.90.52")</f>
        <v>18.004.0015.0182.0140.1076.44.90.52</v>
      </c>
      <c r="S803" s="2" t="str">
        <f ca="1">IFERROR(__xludf.DUMMYFUNCTION("""COMPUTED_VALUE"""),"0000")</f>
        <v>0000</v>
      </c>
      <c r="T803" s="2">
        <f ca="1">IFERROR(__xludf.DUMMYFUNCTION("""COMPUTED_VALUE"""),2024)</f>
        <v>2024</v>
      </c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</row>
    <row r="804" spans="1:32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>
        <f ca="1">IFERROR(__xludf.DUMMYFUNCTION("""COMPUTED_VALUE"""),2023)</f>
        <v>2023</v>
      </c>
      <c r="Q804" s="2" t="str">
        <f ca="1">IFERROR(__xludf.DUMMYFUNCTION("""COMPUTED_VALUE"""),"0879")</f>
        <v>0879</v>
      </c>
      <c r="R804" s="2" t="str">
        <f ca="1">IFERROR(__xludf.DUMMYFUNCTION("""COMPUTED_VALUE"""),"18.004.0015.0182.0140.1076.44.90.52")</f>
        <v>18.004.0015.0182.0140.1076.44.90.52</v>
      </c>
      <c r="S804" s="2" t="str">
        <f ca="1">IFERROR(__xludf.DUMMYFUNCTION("""COMPUTED_VALUE"""),"00509")</f>
        <v>00509</v>
      </c>
      <c r="T804" s="2">
        <f ca="1">IFERROR(__xludf.DUMMYFUNCTION("""COMPUTED_VALUE"""),2024)</f>
        <v>2024</v>
      </c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</row>
    <row r="805" spans="1:32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>
        <f ca="1">IFERROR(__xludf.DUMMYFUNCTION("""COMPUTED_VALUE"""),2023)</f>
        <v>2023</v>
      </c>
      <c r="Q805" s="2" t="str">
        <f ca="1">IFERROR(__xludf.DUMMYFUNCTION("""COMPUTED_VALUE"""),"0880")</f>
        <v>0880</v>
      </c>
      <c r="R805" s="2" t="str">
        <f ca="1">IFERROR(__xludf.DUMMYFUNCTION("""COMPUTED_VALUE"""),"18.004.0015.0452.0140.1077.44.90.52")</f>
        <v>18.004.0015.0452.0140.1077.44.90.52</v>
      </c>
      <c r="S805" s="2" t="str">
        <f ca="1">IFERROR(__xludf.DUMMYFUNCTION("""COMPUTED_VALUE"""),"0000")</f>
        <v>0000</v>
      </c>
      <c r="T805" s="2">
        <f ca="1">IFERROR(__xludf.DUMMYFUNCTION("""COMPUTED_VALUE"""),2024)</f>
        <v>2024</v>
      </c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</row>
    <row r="806" spans="1:32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>
        <f ca="1">IFERROR(__xludf.DUMMYFUNCTION("""COMPUTED_VALUE"""),2023)</f>
        <v>2023</v>
      </c>
      <c r="Q806" s="2" t="str">
        <f ca="1">IFERROR(__xludf.DUMMYFUNCTION("""COMPUTED_VALUE"""),"0881")</f>
        <v>0881</v>
      </c>
      <c r="R806" s="2" t="str">
        <f ca="1">IFERROR(__xludf.DUMMYFUNCTION("""COMPUTED_VALUE"""),"14.001.0028.0846.0000.0006.44.90.61")</f>
        <v>14.001.0028.0846.0000.0006.44.90.61</v>
      </c>
      <c r="S806" s="2" t="str">
        <f ca="1">IFERROR(__xludf.DUMMYFUNCTION("""COMPUTED_VALUE"""),"0000")</f>
        <v>0000</v>
      </c>
      <c r="T806" s="2">
        <f ca="1">IFERROR(__xludf.DUMMYFUNCTION("""COMPUTED_VALUE"""),2024)</f>
        <v>2024</v>
      </c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</row>
    <row r="807" spans="1:32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>
        <f ca="1">IFERROR(__xludf.DUMMYFUNCTION("""COMPUTED_VALUE"""),2023)</f>
        <v>2023</v>
      </c>
      <c r="Q807" s="2" t="str">
        <f ca="1">IFERROR(__xludf.DUMMYFUNCTION("""COMPUTED_VALUE"""),"0882")</f>
        <v>0882</v>
      </c>
      <c r="R807" s="2" t="str">
        <f ca="1">IFERROR(__xludf.DUMMYFUNCTION("""COMPUTED_VALUE"""),"14.001.0028.0846.0000.0006.44.90.61")</f>
        <v>14.001.0028.0846.0000.0006.44.90.61</v>
      </c>
      <c r="S807" s="2" t="str">
        <f ca="1">IFERROR(__xludf.DUMMYFUNCTION("""COMPUTED_VALUE"""),"00611")</f>
        <v>00611</v>
      </c>
      <c r="T807" s="2">
        <f ca="1">IFERROR(__xludf.DUMMYFUNCTION("""COMPUTED_VALUE"""),2024)</f>
        <v>2024</v>
      </c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</row>
    <row r="808" spans="1:32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>
        <f ca="1">IFERROR(__xludf.DUMMYFUNCTION("""COMPUTED_VALUE"""),2023)</f>
        <v>2023</v>
      </c>
      <c r="Q808" s="2" t="str">
        <f ca="1">IFERROR(__xludf.DUMMYFUNCTION("""COMPUTED_VALUE"""),"0883")</f>
        <v>0883</v>
      </c>
      <c r="R808" s="2" t="str">
        <f ca="1">IFERROR(__xludf.DUMMYFUNCTION("""COMPUTED_VALUE"""),"14.001.0028.0846.0000.0007.44.90.61")</f>
        <v>14.001.0028.0846.0000.0007.44.90.61</v>
      </c>
      <c r="S808" s="2" t="str">
        <f ca="1">IFERROR(__xludf.DUMMYFUNCTION("""COMPUTED_VALUE"""),"0000")</f>
        <v>0000</v>
      </c>
      <c r="T808" s="2">
        <f ca="1">IFERROR(__xludf.DUMMYFUNCTION("""COMPUTED_VALUE"""),2024)</f>
        <v>2024</v>
      </c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</row>
    <row r="809" spans="1:32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>
        <f ca="1">IFERROR(__xludf.DUMMYFUNCTION("""COMPUTED_VALUE"""),2023)</f>
        <v>2023</v>
      </c>
      <c r="Q809" s="2" t="str">
        <f ca="1">IFERROR(__xludf.DUMMYFUNCTION("""COMPUTED_VALUE"""),"0884")</f>
        <v>0884</v>
      </c>
      <c r="R809" s="2" t="str">
        <f ca="1">IFERROR(__xludf.DUMMYFUNCTION("""COMPUTED_VALUE"""),"05.003.0012.0365.0074.5005.44.90.61")</f>
        <v>05.003.0012.0365.0074.5005.44.90.61</v>
      </c>
      <c r="S809" s="2" t="str">
        <f ca="1">IFERROR(__xludf.DUMMYFUNCTION("""COMPUTED_VALUE"""),"00103")</f>
        <v>00103</v>
      </c>
      <c r="T809" s="2">
        <f ca="1">IFERROR(__xludf.DUMMYFUNCTION("""COMPUTED_VALUE"""),2024)</f>
        <v>2024</v>
      </c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</row>
    <row r="810" spans="1:32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>
        <f ca="1">IFERROR(__xludf.DUMMYFUNCTION("""COMPUTED_VALUE"""),2023)</f>
        <v>2023</v>
      </c>
      <c r="Q810" s="2" t="str">
        <f ca="1">IFERROR(__xludf.DUMMYFUNCTION("""COMPUTED_VALUE"""),"0885")</f>
        <v>0885</v>
      </c>
      <c r="R810" s="2" t="str">
        <f ca="1">IFERROR(__xludf.DUMMYFUNCTION("""COMPUTED_VALUE"""),"05.003.0012.0361.0074.5009.44.90.61")</f>
        <v>05.003.0012.0361.0074.5009.44.90.61</v>
      </c>
      <c r="S810" s="2" t="str">
        <f ca="1">IFERROR(__xludf.DUMMYFUNCTION("""COMPUTED_VALUE"""),"00107")</f>
        <v>00107</v>
      </c>
      <c r="T810" s="2">
        <f ca="1">IFERROR(__xludf.DUMMYFUNCTION("""COMPUTED_VALUE"""),2024)</f>
        <v>2024</v>
      </c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</row>
    <row r="811" spans="1:32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>
        <f ca="1">IFERROR(__xludf.DUMMYFUNCTION("""COMPUTED_VALUE"""),2023)</f>
        <v>2023</v>
      </c>
      <c r="Q811" s="2" t="str">
        <f ca="1">IFERROR(__xludf.DUMMYFUNCTION("""COMPUTED_VALUE"""),"0886")</f>
        <v>0886</v>
      </c>
      <c r="R811" s="2" t="str">
        <f ca="1">IFERROR(__xludf.DUMMYFUNCTION("""COMPUTED_VALUE"""),"03.002.0016.0482.0122.1029.44.90.61")</f>
        <v>03.002.0016.0482.0122.1029.44.90.61</v>
      </c>
      <c r="S811" s="2" t="str">
        <f ca="1">IFERROR(__xludf.DUMMYFUNCTION("""COMPUTED_VALUE"""),"00037")</f>
        <v>00037</v>
      </c>
      <c r="T811" s="2">
        <f ca="1">IFERROR(__xludf.DUMMYFUNCTION("""COMPUTED_VALUE"""),2024)</f>
        <v>2024</v>
      </c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</row>
    <row r="812" spans="1:3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>
        <f ca="1">IFERROR(__xludf.DUMMYFUNCTION("""COMPUTED_VALUE"""),2023)</f>
        <v>2023</v>
      </c>
      <c r="Q812" s="2" t="str">
        <f ca="1">IFERROR(__xludf.DUMMYFUNCTION("""COMPUTED_VALUE"""),"0888")</f>
        <v>0888</v>
      </c>
      <c r="R812" s="2" t="str">
        <f ca="1">IFERROR(__xludf.DUMMYFUNCTION("""COMPUTED_VALUE"""),"06.001.0010.0301.0094.1015.44.90.93")</f>
        <v>06.001.0010.0301.0094.1015.44.90.93</v>
      </c>
      <c r="S812" s="2" t="str">
        <f ca="1">IFERROR(__xludf.DUMMYFUNCTION("""COMPUTED_VALUE"""),"00303")</f>
        <v>00303</v>
      </c>
      <c r="T812" s="2">
        <f ca="1">IFERROR(__xludf.DUMMYFUNCTION("""COMPUTED_VALUE"""),2024)</f>
        <v>2024</v>
      </c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</row>
    <row r="813" spans="1:32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>
        <f ca="1">IFERROR(__xludf.DUMMYFUNCTION("""COMPUTED_VALUE"""),2023)</f>
        <v>2023</v>
      </c>
      <c r="Q813" s="2" t="str">
        <f ca="1">IFERROR(__xludf.DUMMYFUNCTION("""COMPUTED_VALUE"""),"0889")</f>
        <v>0889</v>
      </c>
      <c r="R813" s="2" t="str">
        <f ca="1">IFERROR(__xludf.DUMMYFUNCTION("""COMPUTED_VALUE"""),"06.001.0010.0302.0094.1022.44.90.93")</f>
        <v>06.001.0010.0302.0094.1022.44.90.93</v>
      </c>
      <c r="S813" s="2" t="str">
        <f ca="1">IFERROR(__xludf.DUMMYFUNCTION("""COMPUTED_VALUE"""),"00303")</f>
        <v>00303</v>
      </c>
      <c r="T813" s="2">
        <f ca="1">IFERROR(__xludf.DUMMYFUNCTION("""COMPUTED_VALUE"""),2024)</f>
        <v>2024</v>
      </c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</row>
    <row r="814" spans="1:32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>
        <f ca="1">IFERROR(__xludf.DUMMYFUNCTION("""COMPUTED_VALUE"""),2023)</f>
        <v>2023</v>
      </c>
      <c r="Q814" s="2" t="str">
        <f ca="1">IFERROR(__xludf.DUMMYFUNCTION("""COMPUTED_VALUE"""),"0890")</f>
        <v>0890</v>
      </c>
      <c r="R814" s="2" t="str">
        <f ca="1">IFERROR(__xludf.DUMMYFUNCTION("""COMPUTED_VALUE"""),"06.001.0010.0301.0094.1023.44.90.93")</f>
        <v>06.001.0010.0301.0094.1023.44.90.93</v>
      </c>
      <c r="S814" s="2" t="str">
        <f ca="1">IFERROR(__xludf.DUMMYFUNCTION("""COMPUTED_VALUE"""),"00303")</f>
        <v>00303</v>
      </c>
      <c r="T814" s="2">
        <f ca="1">IFERROR(__xludf.DUMMYFUNCTION("""COMPUTED_VALUE"""),2024)</f>
        <v>2024</v>
      </c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</row>
    <row r="815" spans="1:32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>
        <f ca="1">IFERROR(__xludf.DUMMYFUNCTION("""COMPUTED_VALUE"""),2023)</f>
        <v>2023</v>
      </c>
      <c r="Q815" s="2" t="str">
        <f ca="1">IFERROR(__xludf.DUMMYFUNCTION("""COMPUTED_VALUE"""),"0892")</f>
        <v>0892</v>
      </c>
      <c r="R815" s="2" t="str">
        <f ca="1">IFERROR(__xludf.DUMMYFUNCTION("""COMPUTED_VALUE"""),"07.002.0015.0451.0104.1046.44.90.93")</f>
        <v>07.002.0015.0451.0104.1046.44.90.93</v>
      </c>
      <c r="S815" s="2" t="str">
        <f ca="1">IFERROR(__xludf.DUMMYFUNCTION("""COMPUTED_VALUE"""),"0000")</f>
        <v>0000</v>
      </c>
      <c r="T815" s="2">
        <f ca="1">IFERROR(__xludf.DUMMYFUNCTION("""COMPUTED_VALUE"""),2024)</f>
        <v>2024</v>
      </c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</row>
    <row r="816" spans="1:32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>
        <f ca="1">IFERROR(__xludf.DUMMYFUNCTION("""COMPUTED_VALUE"""),2023)</f>
        <v>2023</v>
      </c>
      <c r="Q816" s="2" t="str">
        <f ca="1">IFERROR(__xludf.DUMMYFUNCTION("""COMPUTED_VALUE"""),"0893")</f>
        <v>0893</v>
      </c>
      <c r="R816" s="2" t="str">
        <f ca="1">IFERROR(__xludf.DUMMYFUNCTION("""COMPUTED_VALUE"""),"07.007.0015.0452.0104.1052.44.90.93")</f>
        <v>07.007.0015.0452.0104.1052.44.90.93</v>
      </c>
      <c r="S816" s="2" t="str">
        <f ca="1">IFERROR(__xludf.DUMMYFUNCTION("""COMPUTED_VALUE"""),"0000")</f>
        <v>0000</v>
      </c>
      <c r="T816" s="2">
        <f ca="1">IFERROR(__xludf.DUMMYFUNCTION("""COMPUTED_VALUE"""),2024)</f>
        <v>2024</v>
      </c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</row>
    <row r="817" spans="1:32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>
        <f ca="1">IFERROR(__xludf.DUMMYFUNCTION("""COMPUTED_VALUE"""),2023)</f>
        <v>2023</v>
      </c>
      <c r="Q817" s="2" t="str">
        <f ca="1">IFERROR(__xludf.DUMMYFUNCTION("""COMPUTED_VALUE"""),"0894")</f>
        <v>0894</v>
      </c>
      <c r="R817" s="2" t="str">
        <f ca="1">IFERROR(__xludf.DUMMYFUNCTION("""COMPUTED_VALUE"""),"07.007.0015.0452.0104.1053.44.90.93")</f>
        <v>07.007.0015.0452.0104.1053.44.90.93</v>
      </c>
      <c r="S817" s="2" t="str">
        <f ca="1">IFERROR(__xludf.DUMMYFUNCTION("""COMPUTED_VALUE"""),"0000")</f>
        <v>0000</v>
      </c>
      <c r="T817" s="2">
        <f ca="1">IFERROR(__xludf.DUMMYFUNCTION("""COMPUTED_VALUE"""),2024)</f>
        <v>2024</v>
      </c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</row>
    <row r="818" spans="1:32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>
        <f ca="1">IFERROR(__xludf.DUMMYFUNCTION("""COMPUTED_VALUE"""),2023)</f>
        <v>2023</v>
      </c>
      <c r="Q818" s="2" t="str">
        <f ca="1">IFERROR(__xludf.DUMMYFUNCTION("""COMPUTED_VALUE"""),"0895")</f>
        <v>0895</v>
      </c>
      <c r="R818" s="2" t="str">
        <f ca="1">IFERROR(__xludf.DUMMYFUNCTION("""COMPUTED_VALUE"""),"08.003.0008.0244.0118.1013.44.90.93")</f>
        <v>08.003.0008.0244.0118.1013.44.90.93</v>
      </c>
      <c r="S818" s="2" t="str">
        <f ca="1">IFERROR(__xludf.DUMMYFUNCTION("""COMPUTED_VALUE"""),"0000")</f>
        <v>0000</v>
      </c>
      <c r="T818" s="2">
        <f ca="1">IFERROR(__xludf.DUMMYFUNCTION("""COMPUTED_VALUE"""),2024)</f>
        <v>2024</v>
      </c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</row>
    <row r="819" spans="1:32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>
        <f ca="1">IFERROR(__xludf.DUMMYFUNCTION("""COMPUTED_VALUE"""),2023)</f>
        <v>2023</v>
      </c>
      <c r="Q819" s="2" t="str">
        <f ca="1">IFERROR(__xludf.DUMMYFUNCTION("""COMPUTED_VALUE"""),"0896")</f>
        <v>0896</v>
      </c>
      <c r="R819" s="2" t="str">
        <f ca="1">IFERROR(__xludf.DUMMYFUNCTION("""COMPUTED_VALUE"""),"08.005.0008.0243.0118.5000.44.90.93")</f>
        <v>08.005.0008.0243.0118.5000.44.90.93</v>
      </c>
      <c r="S819" s="2" t="str">
        <f ca="1">IFERROR(__xludf.DUMMYFUNCTION("""COMPUTED_VALUE"""),"0000")</f>
        <v>0000</v>
      </c>
      <c r="T819" s="2">
        <f ca="1">IFERROR(__xludf.DUMMYFUNCTION("""COMPUTED_VALUE"""),2024)</f>
        <v>2024</v>
      </c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</row>
    <row r="820" spans="1:32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>
        <f ca="1">IFERROR(__xludf.DUMMYFUNCTION("""COMPUTED_VALUE"""),2023)</f>
        <v>2023</v>
      </c>
      <c r="Q820" s="2" t="str">
        <f ca="1">IFERROR(__xludf.DUMMYFUNCTION("""COMPUTED_VALUE"""),"0897")</f>
        <v>0897</v>
      </c>
      <c r="R820" s="2" t="str">
        <f ca="1">IFERROR(__xludf.DUMMYFUNCTION("""COMPUTED_VALUE"""),"18.001.0004.0121.0140.1006.44.90.93")</f>
        <v>18.001.0004.0121.0140.1006.44.90.93</v>
      </c>
      <c r="S820" s="2" t="str">
        <f ca="1">IFERROR(__xludf.DUMMYFUNCTION("""COMPUTED_VALUE"""),"0000")</f>
        <v>0000</v>
      </c>
      <c r="T820" s="2">
        <f ca="1">IFERROR(__xludf.DUMMYFUNCTION("""COMPUTED_VALUE"""),2024)</f>
        <v>2024</v>
      </c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</row>
    <row r="821" spans="1:32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>
        <f ca="1">IFERROR(__xludf.DUMMYFUNCTION("""COMPUTED_VALUE"""),2023)</f>
        <v>2023</v>
      </c>
      <c r="Q821" s="2" t="str">
        <f ca="1">IFERROR(__xludf.DUMMYFUNCTION("""COMPUTED_VALUE"""),"0898")</f>
        <v>0898</v>
      </c>
      <c r="R821" s="2" t="str">
        <f ca="1">IFERROR(__xludf.DUMMYFUNCTION("""COMPUTED_VALUE"""),"18.002.0006.0181.0140.1007.44.90.93")</f>
        <v>18.002.0006.0181.0140.1007.44.90.93</v>
      </c>
      <c r="S821" s="2" t="str">
        <f ca="1">IFERROR(__xludf.DUMMYFUNCTION("""COMPUTED_VALUE"""),"0000")</f>
        <v>0000</v>
      </c>
      <c r="T821" s="2">
        <f ca="1">IFERROR(__xludf.DUMMYFUNCTION("""COMPUTED_VALUE"""),2024)</f>
        <v>2024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</row>
    <row r="822" spans="1:3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>
        <f ca="1">IFERROR(__xludf.DUMMYFUNCTION("""COMPUTED_VALUE"""),2023)</f>
        <v>2023</v>
      </c>
      <c r="Q822" s="2" t="str">
        <f ca="1">IFERROR(__xludf.DUMMYFUNCTION("""COMPUTED_VALUE"""),"0899")</f>
        <v>0899</v>
      </c>
      <c r="R822" s="2" t="str">
        <f ca="1">IFERROR(__xludf.DUMMYFUNCTION("""COMPUTED_VALUE"""),"18.002.0006.0181.0140.1007.44.90.93")</f>
        <v>18.002.0006.0181.0140.1007.44.90.93</v>
      </c>
      <c r="S822" s="2" t="str">
        <f ca="1">IFERROR(__xludf.DUMMYFUNCTION("""COMPUTED_VALUE"""),"01011")</f>
        <v>01011</v>
      </c>
      <c r="T822" s="2">
        <f ca="1">IFERROR(__xludf.DUMMYFUNCTION("""COMPUTED_VALUE"""),2024)</f>
        <v>2024</v>
      </c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</row>
    <row r="823" spans="1:32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>
        <f ca="1">IFERROR(__xludf.DUMMYFUNCTION("""COMPUTED_VALUE"""),2023)</f>
        <v>2023</v>
      </c>
      <c r="Q823" s="2" t="str">
        <f ca="1">IFERROR(__xludf.DUMMYFUNCTION("""COMPUTED_VALUE"""),"0900")</f>
        <v>0900</v>
      </c>
      <c r="R823" s="2" t="str">
        <f ca="1">IFERROR(__xludf.DUMMYFUNCTION("""COMPUTED_VALUE"""),"18.003.0015.0452.0140.1010.44.90.93")</f>
        <v>18.003.0015.0452.0140.1010.44.90.93</v>
      </c>
      <c r="S823" s="2" t="str">
        <f ca="1">IFERROR(__xludf.DUMMYFUNCTION("""COMPUTED_VALUE"""),"0000")</f>
        <v>0000</v>
      </c>
      <c r="T823" s="2">
        <f ca="1">IFERROR(__xludf.DUMMYFUNCTION("""COMPUTED_VALUE"""),2024)</f>
        <v>2024</v>
      </c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</row>
    <row r="824" spans="1:32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>
        <f ca="1">IFERROR(__xludf.DUMMYFUNCTION("""COMPUTED_VALUE"""),2023)</f>
        <v>2023</v>
      </c>
      <c r="Q824" s="2" t="str">
        <f ca="1">IFERROR(__xludf.DUMMYFUNCTION("""COMPUTED_VALUE"""),"0901")</f>
        <v>0901</v>
      </c>
      <c r="R824" s="2" t="str">
        <f ca="1">IFERROR(__xludf.DUMMYFUNCTION("""COMPUTED_VALUE"""),"18.003.0015.0452.0140.1010.44.90.93")</f>
        <v>18.003.0015.0452.0140.1010.44.90.93</v>
      </c>
      <c r="S824" s="2" t="str">
        <f ca="1">IFERROR(__xludf.DUMMYFUNCTION("""COMPUTED_VALUE"""),"00509")</f>
        <v>00509</v>
      </c>
      <c r="T824" s="2">
        <f ca="1">IFERROR(__xludf.DUMMYFUNCTION("""COMPUTED_VALUE"""),2024)</f>
        <v>2024</v>
      </c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</row>
    <row r="825" spans="1:32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>
        <f ca="1">IFERROR(__xludf.DUMMYFUNCTION("""COMPUTED_VALUE"""),2023)</f>
        <v>2023</v>
      </c>
      <c r="Q825" s="2" t="str">
        <f ca="1">IFERROR(__xludf.DUMMYFUNCTION("""COMPUTED_VALUE"""),"0902")</f>
        <v>0902</v>
      </c>
      <c r="R825" s="2" t="str">
        <f ca="1">IFERROR(__xludf.DUMMYFUNCTION("""COMPUTED_VALUE"""),"18.004.0006.0181.0140.1073.44.90.93")</f>
        <v>18.004.0006.0181.0140.1073.44.90.93</v>
      </c>
      <c r="S825" s="2" t="str">
        <f ca="1">IFERROR(__xludf.DUMMYFUNCTION("""COMPUTED_VALUE"""),"0000")</f>
        <v>0000</v>
      </c>
      <c r="T825" s="2">
        <f ca="1">IFERROR(__xludf.DUMMYFUNCTION("""COMPUTED_VALUE"""),2024)</f>
        <v>2024</v>
      </c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</row>
    <row r="826" spans="1:32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>
        <f ca="1">IFERROR(__xludf.DUMMYFUNCTION("""COMPUTED_VALUE"""),2023)</f>
        <v>2023</v>
      </c>
      <c r="Q826" s="2" t="str">
        <f ca="1">IFERROR(__xludf.DUMMYFUNCTION("""COMPUTED_VALUE"""),"0903")</f>
        <v>0903</v>
      </c>
      <c r="R826" s="2" t="str">
        <f ca="1">IFERROR(__xludf.DUMMYFUNCTION("""COMPUTED_VALUE"""),"18.004.0015.0452.0140.1077.44.90.93")</f>
        <v>18.004.0015.0452.0140.1077.44.90.93</v>
      </c>
      <c r="S826" s="2" t="str">
        <f ca="1">IFERROR(__xludf.DUMMYFUNCTION("""COMPUTED_VALUE"""),"0000")</f>
        <v>0000</v>
      </c>
      <c r="T826" s="2">
        <f ca="1">IFERROR(__xludf.DUMMYFUNCTION("""COMPUTED_VALUE"""),2024)</f>
        <v>2024</v>
      </c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</row>
    <row r="827" spans="1:32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>
        <f ca="1">IFERROR(__xludf.DUMMYFUNCTION("""COMPUTED_VALUE"""),2023)</f>
        <v>2023</v>
      </c>
      <c r="Q827" s="2" t="str">
        <f ca="1">IFERROR(__xludf.DUMMYFUNCTION("""COMPUTED_VALUE"""),"0904")</f>
        <v>0904</v>
      </c>
      <c r="R827" s="2" t="str">
        <f ca="1">IFERROR(__xludf.DUMMYFUNCTION("""COMPUTED_VALUE"""),"14.001.0028.0843.0000.0005.46.90.71")</f>
        <v>14.001.0028.0843.0000.0005.46.90.71</v>
      </c>
      <c r="S827" s="2" t="str">
        <f ca="1">IFERROR(__xludf.DUMMYFUNCTION("""COMPUTED_VALUE"""),"0000")</f>
        <v>0000</v>
      </c>
      <c r="T827" s="2">
        <f ca="1">IFERROR(__xludf.DUMMYFUNCTION("""COMPUTED_VALUE"""),2024)</f>
        <v>2024</v>
      </c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</row>
    <row r="828" spans="1:32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>
        <f ca="1">IFERROR(__xludf.DUMMYFUNCTION("""COMPUTED_VALUE"""),2023)</f>
        <v>2023</v>
      </c>
      <c r="Q828" s="2" t="str">
        <f ca="1">IFERROR(__xludf.DUMMYFUNCTION("""COMPUTED_VALUE"""),"0905")</f>
        <v>0905</v>
      </c>
      <c r="R828" s="2" t="str">
        <f ca="1">IFERROR(__xludf.DUMMYFUNCTION("""COMPUTED_VALUE"""),"14.001.0028.0843.0000.0005.46.90.71")</f>
        <v>14.001.0028.0843.0000.0005.46.90.71</v>
      </c>
      <c r="S828" s="2" t="str">
        <f ca="1">IFERROR(__xludf.DUMMYFUNCTION("""COMPUTED_VALUE"""),"01009")</f>
        <v>01009</v>
      </c>
      <c r="T828" s="2">
        <f ca="1">IFERROR(__xludf.DUMMYFUNCTION("""COMPUTED_VALUE"""),2024)</f>
        <v>2024</v>
      </c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</row>
    <row r="829" spans="1:32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>
        <f ca="1">IFERROR(__xludf.DUMMYFUNCTION("""COMPUTED_VALUE"""),2023)</f>
        <v>2023</v>
      </c>
      <c r="Q829" s="2" t="str">
        <f ca="1">IFERROR(__xludf.DUMMYFUNCTION("""COMPUTED_VALUE"""),"0906")</f>
        <v>0906</v>
      </c>
      <c r="R829" s="2" t="str">
        <f ca="1">IFERROR(__xludf.DUMMYFUNCTION("""COMPUTED_VALUE"""),"14.001.0099.0999.9999.9999.99.99.99")</f>
        <v>14.001.0099.0999.9999.9999.99.99.99</v>
      </c>
      <c r="S829" s="2" t="str">
        <f ca="1">IFERROR(__xludf.DUMMYFUNCTION("""COMPUTED_VALUE"""),"0000")</f>
        <v>0000</v>
      </c>
      <c r="T829" s="2">
        <f ca="1">IFERROR(__xludf.DUMMYFUNCTION("""COMPUTED_VALUE"""),2024)</f>
        <v>2024</v>
      </c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</row>
    <row r="830" spans="1:32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>
        <f ca="1">IFERROR(__xludf.DUMMYFUNCTION("""COMPUTED_VALUE"""),2023)</f>
        <v>2023</v>
      </c>
      <c r="Q830" s="2" t="str">
        <f ca="1">IFERROR(__xludf.DUMMYFUNCTION("""COMPUTED_VALUE"""),"0908")</f>
        <v>0908</v>
      </c>
      <c r="R830" s="2" t="str">
        <f ca="1">IFERROR(__xludf.DUMMYFUNCTION("""COMPUTED_VALUE"""),"17.001.0009.0272.0171.0010.31.90.01")</f>
        <v>17.001.0009.0272.0171.0010.31.90.01</v>
      </c>
      <c r="S830" s="2" t="str">
        <f ca="1">IFERROR(__xludf.DUMMYFUNCTION("""COMPUTED_VALUE"""),"00040")</f>
        <v>00040</v>
      </c>
      <c r="T830" s="2">
        <f ca="1">IFERROR(__xludf.DUMMYFUNCTION("""COMPUTED_VALUE"""),2024)</f>
        <v>2024</v>
      </c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</row>
    <row r="831" spans="1:32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>
        <f ca="1">IFERROR(__xludf.DUMMYFUNCTION("""COMPUTED_VALUE"""),2023)</f>
        <v>2023</v>
      </c>
      <c r="Q831" s="2" t="str">
        <f ca="1">IFERROR(__xludf.DUMMYFUNCTION("""COMPUTED_VALUE"""),"0909")</f>
        <v>0909</v>
      </c>
      <c r="R831" s="2" t="str">
        <f ca="1">IFERROR(__xludf.DUMMYFUNCTION("""COMPUTED_VALUE"""),"17.001.0009.0272.0171.0010.31.90.03")</f>
        <v>17.001.0009.0272.0171.0010.31.90.03</v>
      </c>
      <c r="S831" s="2" t="str">
        <f ca="1">IFERROR(__xludf.DUMMYFUNCTION("""COMPUTED_VALUE"""),"00040")</f>
        <v>00040</v>
      </c>
      <c r="T831" s="2">
        <f ca="1">IFERROR(__xludf.DUMMYFUNCTION("""COMPUTED_VALUE"""),2024)</f>
        <v>2024</v>
      </c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</row>
    <row r="832" spans="1: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>
        <f ca="1">IFERROR(__xludf.DUMMYFUNCTION("""COMPUTED_VALUE"""),2023)</f>
        <v>2023</v>
      </c>
      <c r="Q832" s="2" t="str">
        <f ca="1">IFERROR(__xludf.DUMMYFUNCTION("""COMPUTED_VALUE"""),"0911")</f>
        <v>0911</v>
      </c>
      <c r="R832" s="2" t="str">
        <f ca="1">IFERROR(__xludf.DUMMYFUNCTION("""COMPUTED_VALUE"""),"17.001.0009.0122.0171.2050.31.90.11")</f>
        <v>17.001.0009.0122.0171.2050.31.90.11</v>
      </c>
      <c r="S832" s="2" t="str">
        <f ca="1">IFERROR(__xludf.DUMMYFUNCTION("""COMPUTED_VALUE"""),"00100")</f>
        <v>00100</v>
      </c>
      <c r="T832" s="2">
        <f ca="1">IFERROR(__xludf.DUMMYFUNCTION("""COMPUTED_VALUE"""),2024)</f>
        <v>2024</v>
      </c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</row>
    <row r="833" spans="1:32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>
        <f ca="1">IFERROR(__xludf.DUMMYFUNCTION("""COMPUTED_VALUE"""),2023)</f>
        <v>2023</v>
      </c>
      <c r="Q833" s="2" t="str">
        <f ca="1">IFERROR(__xludf.DUMMYFUNCTION("""COMPUTED_VALUE"""),"0912")</f>
        <v>0912</v>
      </c>
      <c r="R833" s="2" t="str">
        <f ca="1">IFERROR(__xludf.DUMMYFUNCTION("""COMPUTED_VALUE"""),"17.001.0009.0122.0171.0011.31.90.91")</f>
        <v>17.001.0009.0122.0171.0011.31.90.91</v>
      </c>
      <c r="S833" s="2" t="str">
        <f ca="1">IFERROR(__xludf.DUMMYFUNCTION("""COMPUTED_VALUE"""),"00040")</f>
        <v>00040</v>
      </c>
      <c r="T833" s="2">
        <f ca="1">IFERROR(__xludf.DUMMYFUNCTION("""COMPUTED_VALUE"""),2024)</f>
        <v>2024</v>
      </c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</row>
    <row r="834" spans="1:32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>
        <f ca="1">IFERROR(__xludf.DUMMYFUNCTION("""COMPUTED_VALUE"""),2023)</f>
        <v>2023</v>
      </c>
      <c r="Q834" s="2" t="str">
        <f ca="1">IFERROR(__xludf.DUMMYFUNCTION("""COMPUTED_VALUE"""),"0914")</f>
        <v>0914</v>
      </c>
      <c r="R834" s="2" t="str">
        <f ca="1">IFERROR(__xludf.DUMMYFUNCTION("""COMPUTED_VALUE"""),"17.001.0009.0122.0171.2050.31.90.96")</f>
        <v>17.001.0009.0122.0171.2050.31.90.96</v>
      </c>
      <c r="S834" s="2" t="str">
        <f ca="1">IFERROR(__xludf.DUMMYFUNCTION("""COMPUTED_VALUE"""),"00100")</f>
        <v>00100</v>
      </c>
      <c r="T834" s="2">
        <f ca="1">IFERROR(__xludf.DUMMYFUNCTION("""COMPUTED_VALUE"""),2024)</f>
        <v>2024</v>
      </c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</row>
    <row r="835" spans="1:32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>
        <f ca="1">IFERROR(__xludf.DUMMYFUNCTION("""COMPUTED_VALUE"""),2023)</f>
        <v>2023</v>
      </c>
      <c r="Q835" s="2" t="str">
        <f ca="1">IFERROR(__xludf.DUMMYFUNCTION("""COMPUTED_VALUE"""),"0916")</f>
        <v>0916</v>
      </c>
      <c r="R835" s="2" t="str">
        <f ca="1">IFERROR(__xludf.DUMMYFUNCTION("""COMPUTED_VALUE"""),"17.001.0009.0122.0171.2050.31.91.13")</f>
        <v>17.001.0009.0122.0171.2050.31.91.13</v>
      </c>
      <c r="S835" s="2" t="str">
        <f ca="1">IFERROR(__xludf.DUMMYFUNCTION("""COMPUTED_VALUE"""),"00100")</f>
        <v>00100</v>
      </c>
      <c r="T835" s="2">
        <f ca="1">IFERROR(__xludf.DUMMYFUNCTION("""COMPUTED_VALUE"""),2024)</f>
        <v>2024</v>
      </c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</row>
    <row r="836" spans="1:32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>
        <f ca="1">IFERROR(__xludf.DUMMYFUNCTION("""COMPUTED_VALUE"""),2023)</f>
        <v>2023</v>
      </c>
      <c r="Q836" s="2" t="str">
        <f ca="1">IFERROR(__xludf.DUMMYFUNCTION("""COMPUTED_VALUE"""),"0918")</f>
        <v>0918</v>
      </c>
      <c r="R836" s="2" t="str">
        <f ca="1">IFERROR(__xludf.DUMMYFUNCTION("""COMPUTED_VALUE"""),"17.001.0009.0122.0171.2050.33.90.14")</f>
        <v>17.001.0009.0122.0171.2050.33.90.14</v>
      </c>
      <c r="S836" s="2" t="str">
        <f ca="1">IFERROR(__xludf.DUMMYFUNCTION("""COMPUTED_VALUE"""),"00100")</f>
        <v>00100</v>
      </c>
      <c r="T836" s="2">
        <f ca="1">IFERROR(__xludf.DUMMYFUNCTION("""COMPUTED_VALUE"""),2024)</f>
        <v>2024</v>
      </c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</row>
    <row r="837" spans="1:32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>
        <f ca="1">IFERROR(__xludf.DUMMYFUNCTION("""COMPUTED_VALUE"""),2023)</f>
        <v>2023</v>
      </c>
      <c r="Q837" s="2" t="str">
        <f ca="1">IFERROR(__xludf.DUMMYFUNCTION("""COMPUTED_VALUE"""),"0920")</f>
        <v>0920</v>
      </c>
      <c r="R837" s="2" t="str">
        <f ca="1">IFERROR(__xludf.DUMMYFUNCTION("""COMPUTED_VALUE"""),"17.001.0009.0122.0171.2051.33.90.14")</f>
        <v>17.001.0009.0122.0171.2051.33.90.14</v>
      </c>
      <c r="S837" s="2" t="str">
        <f ca="1">IFERROR(__xludf.DUMMYFUNCTION("""COMPUTED_VALUE"""),"00100")</f>
        <v>00100</v>
      </c>
      <c r="T837" s="2">
        <f ca="1">IFERROR(__xludf.DUMMYFUNCTION("""COMPUTED_VALUE"""),2024)</f>
        <v>2024</v>
      </c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</row>
    <row r="838" spans="1:32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>
        <f ca="1">IFERROR(__xludf.DUMMYFUNCTION("""COMPUTED_VALUE"""),2023)</f>
        <v>2023</v>
      </c>
      <c r="Q838" s="2" t="str">
        <f ca="1">IFERROR(__xludf.DUMMYFUNCTION("""COMPUTED_VALUE"""),"0922")</f>
        <v>0922</v>
      </c>
      <c r="R838" s="2" t="str">
        <f ca="1">IFERROR(__xludf.DUMMYFUNCTION("""COMPUTED_VALUE"""),"17.001.0009.0122.0171.2053.33.90.14")</f>
        <v>17.001.0009.0122.0171.2053.33.90.14</v>
      </c>
      <c r="S838" s="2" t="str">
        <f ca="1">IFERROR(__xludf.DUMMYFUNCTION("""COMPUTED_VALUE"""),"00100")</f>
        <v>00100</v>
      </c>
      <c r="T838" s="2">
        <f ca="1">IFERROR(__xludf.DUMMYFUNCTION("""COMPUTED_VALUE"""),2024)</f>
        <v>2024</v>
      </c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</row>
    <row r="839" spans="1:32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>
        <f ca="1">IFERROR(__xludf.DUMMYFUNCTION("""COMPUTED_VALUE"""),2023)</f>
        <v>2023</v>
      </c>
      <c r="Q839" s="2" t="str">
        <f ca="1">IFERROR(__xludf.DUMMYFUNCTION("""COMPUTED_VALUE"""),"0924")</f>
        <v>0924</v>
      </c>
      <c r="R839" s="2" t="str">
        <f ca="1">IFERROR(__xludf.DUMMYFUNCTION("""COMPUTED_VALUE"""),"17.001.0009.0122.0171.2054.33.90.14")</f>
        <v>17.001.0009.0122.0171.2054.33.90.14</v>
      </c>
      <c r="S839" s="2" t="str">
        <f ca="1">IFERROR(__xludf.DUMMYFUNCTION("""COMPUTED_VALUE"""),"00100")</f>
        <v>00100</v>
      </c>
      <c r="T839" s="2">
        <f ca="1">IFERROR(__xludf.DUMMYFUNCTION("""COMPUTED_VALUE"""),2024)</f>
        <v>2024</v>
      </c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</row>
    <row r="840" spans="1:32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>
        <f ca="1">IFERROR(__xludf.DUMMYFUNCTION("""COMPUTED_VALUE"""),2023)</f>
        <v>2023</v>
      </c>
      <c r="Q840" s="2" t="str">
        <f ca="1">IFERROR(__xludf.DUMMYFUNCTION("""COMPUTED_VALUE"""),"0926")</f>
        <v>0926</v>
      </c>
      <c r="R840" s="2" t="str">
        <f ca="1">IFERROR(__xludf.DUMMYFUNCTION("""COMPUTED_VALUE"""),"17.001.0009.0122.0171.2050.33.90.30")</f>
        <v>17.001.0009.0122.0171.2050.33.90.30</v>
      </c>
      <c r="S840" s="2" t="str">
        <f ca="1">IFERROR(__xludf.DUMMYFUNCTION("""COMPUTED_VALUE"""),"00100")</f>
        <v>00100</v>
      </c>
      <c r="T840" s="2">
        <f ca="1">IFERROR(__xludf.DUMMYFUNCTION("""COMPUTED_VALUE"""),2024)</f>
        <v>2024</v>
      </c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</row>
    <row r="841" spans="1:32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>
        <f ca="1">IFERROR(__xludf.DUMMYFUNCTION("""COMPUTED_VALUE"""),2023)</f>
        <v>2023</v>
      </c>
      <c r="Q841" s="2" t="str">
        <f ca="1">IFERROR(__xludf.DUMMYFUNCTION("""COMPUTED_VALUE"""),"0928")</f>
        <v>0928</v>
      </c>
      <c r="R841" s="2" t="str">
        <f ca="1">IFERROR(__xludf.DUMMYFUNCTION("""COMPUTED_VALUE"""),"17.001.0009.0122.0171.2052.33.90.30")</f>
        <v>17.001.0009.0122.0171.2052.33.90.30</v>
      </c>
      <c r="S841" s="2" t="str">
        <f ca="1">IFERROR(__xludf.DUMMYFUNCTION("""COMPUTED_VALUE"""),"00100")</f>
        <v>00100</v>
      </c>
      <c r="T841" s="2">
        <f ca="1">IFERROR(__xludf.DUMMYFUNCTION("""COMPUTED_VALUE"""),2024)</f>
        <v>2024</v>
      </c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</row>
    <row r="842" spans="1:3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>
        <f ca="1">IFERROR(__xludf.DUMMYFUNCTION("""COMPUTED_VALUE"""),2023)</f>
        <v>2023</v>
      </c>
      <c r="Q842" s="2" t="str">
        <f ca="1">IFERROR(__xludf.DUMMYFUNCTION("""COMPUTED_VALUE"""),"0930")</f>
        <v>0930</v>
      </c>
      <c r="R842" s="2" t="str">
        <f ca="1">IFERROR(__xludf.DUMMYFUNCTION("""COMPUTED_VALUE"""),"17.001.0009.0122.0171.2054.33.90.30")</f>
        <v>17.001.0009.0122.0171.2054.33.90.30</v>
      </c>
      <c r="S842" s="2" t="str">
        <f ca="1">IFERROR(__xludf.DUMMYFUNCTION("""COMPUTED_VALUE"""),"00100")</f>
        <v>00100</v>
      </c>
      <c r="T842" s="2">
        <f ca="1">IFERROR(__xludf.DUMMYFUNCTION("""COMPUTED_VALUE"""),2024)</f>
        <v>2024</v>
      </c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</row>
    <row r="843" spans="1:32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>
        <f ca="1">IFERROR(__xludf.DUMMYFUNCTION("""COMPUTED_VALUE"""),2023)</f>
        <v>2023</v>
      </c>
      <c r="Q843" s="2" t="str">
        <f ca="1">IFERROR(__xludf.DUMMYFUNCTION("""COMPUTED_VALUE"""),"0934")</f>
        <v>0934</v>
      </c>
      <c r="R843" s="2" t="str">
        <f ca="1">IFERROR(__xludf.DUMMYFUNCTION("""COMPUTED_VALUE"""),"17.001.0009.0122.0171.2050.33.90.33")</f>
        <v>17.001.0009.0122.0171.2050.33.90.33</v>
      </c>
      <c r="S843" s="2" t="str">
        <f ca="1">IFERROR(__xludf.DUMMYFUNCTION("""COMPUTED_VALUE"""),"00100")</f>
        <v>00100</v>
      </c>
      <c r="T843" s="2">
        <f ca="1">IFERROR(__xludf.DUMMYFUNCTION("""COMPUTED_VALUE"""),2024)</f>
        <v>2024</v>
      </c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</row>
    <row r="844" spans="1:32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>
        <f ca="1">IFERROR(__xludf.DUMMYFUNCTION("""COMPUTED_VALUE"""),2023)</f>
        <v>2023</v>
      </c>
      <c r="Q844" s="2" t="str">
        <f ca="1">IFERROR(__xludf.DUMMYFUNCTION("""COMPUTED_VALUE"""),"0936")</f>
        <v>0936</v>
      </c>
      <c r="R844" s="2" t="str">
        <f ca="1">IFERROR(__xludf.DUMMYFUNCTION("""COMPUTED_VALUE"""),"17.001.0009.0122.0171.2051.33.90.33")</f>
        <v>17.001.0009.0122.0171.2051.33.90.33</v>
      </c>
      <c r="S844" s="2" t="str">
        <f ca="1">IFERROR(__xludf.DUMMYFUNCTION("""COMPUTED_VALUE"""),"00100")</f>
        <v>00100</v>
      </c>
      <c r="T844" s="2">
        <f ca="1">IFERROR(__xludf.DUMMYFUNCTION("""COMPUTED_VALUE"""),2024)</f>
        <v>2024</v>
      </c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</row>
    <row r="845" spans="1:32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>
        <f ca="1">IFERROR(__xludf.DUMMYFUNCTION("""COMPUTED_VALUE"""),2023)</f>
        <v>2023</v>
      </c>
      <c r="Q845" s="2" t="str">
        <f ca="1">IFERROR(__xludf.DUMMYFUNCTION("""COMPUTED_VALUE"""),"0938")</f>
        <v>0938</v>
      </c>
      <c r="R845" s="2" t="str">
        <f ca="1">IFERROR(__xludf.DUMMYFUNCTION("""COMPUTED_VALUE"""),"17.001.0009.0122.0171.2053.33.90.33")</f>
        <v>17.001.0009.0122.0171.2053.33.90.33</v>
      </c>
      <c r="S845" s="2" t="str">
        <f ca="1">IFERROR(__xludf.DUMMYFUNCTION("""COMPUTED_VALUE"""),"00100")</f>
        <v>00100</v>
      </c>
      <c r="T845" s="2">
        <f ca="1">IFERROR(__xludf.DUMMYFUNCTION("""COMPUTED_VALUE"""),2024)</f>
        <v>2024</v>
      </c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</row>
    <row r="846" spans="1:32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>
        <f ca="1">IFERROR(__xludf.DUMMYFUNCTION("""COMPUTED_VALUE"""),2023)</f>
        <v>2023</v>
      </c>
      <c r="Q846" s="2" t="str">
        <f ca="1">IFERROR(__xludf.DUMMYFUNCTION("""COMPUTED_VALUE"""),"0940")</f>
        <v>0940</v>
      </c>
      <c r="R846" s="2" t="str">
        <f ca="1">IFERROR(__xludf.DUMMYFUNCTION("""COMPUTED_VALUE"""),"17.001.0009.0122.0171.2054.33.90.33")</f>
        <v>17.001.0009.0122.0171.2054.33.90.33</v>
      </c>
      <c r="S846" s="2" t="str">
        <f ca="1">IFERROR(__xludf.DUMMYFUNCTION("""COMPUTED_VALUE"""),"00100")</f>
        <v>00100</v>
      </c>
      <c r="T846" s="2">
        <f ca="1">IFERROR(__xludf.DUMMYFUNCTION("""COMPUTED_VALUE"""),2024)</f>
        <v>2024</v>
      </c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</row>
    <row r="847" spans="1:32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>
        <f ca="1">IFERROR(__xludf.DUMMYFUNCTION("""COMPUTED_VALUE"""),2023)</f>
        <v>2023</v>
      </c>
      <c r="Q847" s="2" t="str">
        <f ca="1">IFERROR(__xludf.DUMMYFUNCTION("""COMPUTED_VALUE"""),"0942")</f>
        <v>0942</v>
      </c>
      <c r="R847" s="2" t="str">
        <f ca="1">IFERROR(__xludf.DUMMYFUNCTION("""COMPUTED_VALUE"""),"17.001.0009.0122.0171.2050.33.90.35")</f>
        <v>17.001.0009.0122.0171.2050.33.90.35</v>
      </c>
      <c r="S847" s="2" t="str">
        <f ca="1">IFERROR(__xludf.DUMMYFUNCTION("""COMPUTED_VALUE"""),"00100")</f>
        <v>00100</v>
      </c>
      <c r="T847" s="2">
        <f ca="1">IFERROR(__xludf.DUMMYFUNCTION("""COMPUTED_VALUE"""),2024)</f>
        <v>2024</v>
      </c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</row>
    <row r="848" spans="1:32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>
        <f ca="1">IFERROR(__xludf.DUMMYFUNCTION("""COMPUTED_VALUE"""),2023)</f>
        <v>2023</v>
      </c>
      <c r="Q848" s="2" t="str">
        <f ca="1">IFERROR(__xludf.DUMMYFUNCTION("""COMPUTED_VALUE"""),"0944")</f>
        <v>0944</v>
      </c>
      <c r="R848" s="2" t="str">
        <f ca="1">IFERROR(__xludf.DUMMYFUNCTION("""COMPUTED_VALUE"""),"17.001.0009.0122.0171.2053.33.90.35")</f>
        <v>17.001.0009.0122.0171.2053.33.90.35</v>
      </c>
      <c r="S848" s="2" t="str">
        <f ca="1">IFERROR(__xludf.DUMMYFUNCTION("""COMPUTED_VALUE"""),"00100")</f>
        <v>00100</v>
      </c>
      <c r="T848" s="2">
        <f ca="1">IFERROR(__xludf.DUMMYFUNCTION("""COMPUTED_VALUE"""),2024)</f>
        <v>2024</v>
      </c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</row>
    <row r="849" spans="1:32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>
        <f ca="1">IFERROR(__xludf.DUMMYFUNCTION("""COMPUTED_VALUE"""),2023)</f>
        <v>2023</v>
      </c>
      <c r="Q849" s="2" t="str">
        <f ca="1">IFERROR(__xludf.DUMMYFUNCTION("""COMPUTED_VALUE"""),"0946")</f>
        <v>0946</v>
      </c>
      <c r="R849" s="2" t="str">
        <f ca="1">IFERROR(__xludf.DUMMYFUNCTION("""COMPUTED_VALUE"""),"17.001.0009.0122.0171.2050.33.90.36")</f>
        <v>17.001.0009.0122.0171.2050.33.90.36</v>
      </c>
      <c r="S849" s="2" t="str">
        <f ca="1">IFERROR(__xludf.DUMMYFUNCTION("""COMPUTED_VALUE"""),"00100")</f>
        <v>00100</v>
      </c>
      <c r="T849" s="2">
        <f ca="1">IFERROR(__xludf.DUMMYFUNCTION("""COMPUTED_VALUE"""),2024)</f>
        <v>2024</v>
      </c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</row>
    <row r="850" spans="1:32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>
        <f ca="1">IFERROR(__xludf.DUMMYFUNCTION("""COMPUTED_VALUE"""),2023)</f>
        <v>2023</v>
      </c>
      <c r="Q850" s="2" t="str">
        <f ca="1">IFERROR(__xludf.DUMMYFUNCTION("""COMPUTED_VALUE"""),"0948")</f>
        <v>0948</v>
      </c>
      <c r="R850" s="2" t="str">
        <f ca="1">IFERROR(__xludf.DUMMYFUNCTION("""COMPUTED_VALUE"""),"17.001.0009.0122.0171.2051.33.90.36")</f>
        <v>17.001.0009.0122.0171.2051.33.90.36</v>
      </c>
      <c r="S850" s="2" t="str">
        <f ca="1">IFERROR(__xludf.DUMMYFUNCTION("""COMPUTED_VALUE"""),"00100")</f>
        <v>00100</v>
      </c>
      <c r="T850" s="2">
        <f ca="1">IFERROR(__xludf.DUMMYFUNCTION("""COMPUTED_VALUE"""),2024)</f>
        <v>2024</v>
      </c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</row>
    <row r="851" spans="1:32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>
        <f ca="1">IFERROR(__xludf.DUMMYFUNCTION("""COMPUTED_VALUE"""),2023)</f>
        <v>2023</v>
      </c>
      <c r="Q851" s="2" t="str">
        <f ca="1">IFERROR(__xludf.DUMMYFUNCTION("""COMPUTED_VALUE"""),"0950")</f>
        <v>0950</v>
      </c>
      <c r="R851" s="2" t="str">
        <f ca="1">IFERROR(__xludf.DUMMYFUNCTION("""COMPUTED_VALUE"""),"17.001.0009.0122.0171.2053.33.90.36")</f>
        <v>17.001.0009.0122.0171.2053.33.90.36</v>
      </c>
      <c r="S851" s="2" t="str">
        <f ca="1">IFERROR(__xludf.DUMMYFUNCTION("""COMPUTED_VALUE"""),"00100")</f>
        <v>00100</v>
      </c>
      <c r="T851" s="2">
        <f ca="1">IFERROR(__xludf.DUMMYFUNCTION("""COMPUTED_VALUE"""),2024)</f>
        <v>2024</v>
      </c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</row>
    <row r="852" spans="1:3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>
        <f ca="1">IFERROR(__xludf.DUMMYFUNCTION("""COMPUTED_VALUE"""),2023)</f>
        <v>2023</v>
      </c>
      <c r="Q852" s="2" t="str">
        <f ca="1">IFERROR(__xludf.DUMMYFUNCTION("""COMPUTED_VALUE"""),"0952")</f>
        <v>0952</v>
      </c>
      <c r="R852" s="2" t="str">
        <f ca="1">IFERROR(__xludf.DUMMYFUNCTION("""COMPUTED_VALUE"""),"17.001.0009.0122.0171.2054.33.90.36")</f>
        <v>17.001.0009.0122.0171.2054.33.90.36</v>
      </c>
      <c r="S852" s="2" t="str">
        <f ca="1">IFERROR(__xludf.DUMMYFUNCTION("""COMPUTED_VALUE"""),"00100")</f>
        <v>00100</v>
      </c>
      <c r="T852" s="2">
        <f ca="1">IFERROR(__xludf.DUMMYFUNCTION("""COMPUTED_VALUE"""),2024)</f>
        <v>2024</v>
      </c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</row>
    <row r="853" spans="1:32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>
        <f ca="1">IFERROR(__xludf.DUMMYFUNCTION("""COMPUTED_VALUE"""),2023)</f>
        <v>2023</v>
      </c>
      <c r="Q853" s="2" t="str">
        <f ca="1">IFERROR(__xludf.DUMMYFUNCTION("""COMPUTED_VALUE"""),"0954")</f>
        <v>0954</v>
      </c>
      <c r="R853" s="2" t="str">
        <f ca="1">IFERROR(__xludf.DUMMYFUNCTION("""COMPUTED_VALUE"""),"17.001.0009.0122.0171.1028.33.90.39")</f>
        <v>17.001.0009.0122.0171.1028.33.90.39</v>
      </c>
      <c r="S853" s="2" t="str">
        <f ca="1">IFERROR(__xludf.DUMMYFUNCTION("""COMPUTED_VALUE"""),"00100")</f>
        <v>00100</v>
      </c>
      <c r="T853" s="2">
        <f ca="1">IFERROR(__xludf.DUMMYFUNCTION("""COMPUTED_VALUE"""),2024)</f>
        <v>2024</v>
      </c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</row>
    <row r="854" spans="1:32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>
        <f ca="1">IFERROR(__xludf.DUMMYFUNCTION("""COMPUTED_VALUE"""),2023)</f>
        <v>2023</v>
      </c>
      <c r="Q854" s="2" t="str">
        <f ca="1">IFERROR(__xludf.DUMMYFUNCTION("""COMPUTED_VALUE"""),"0956")</f>
        <v>0956</v>
      </c>
      <c r="R854" s="2" t="str">
        <f ca="1">IFERROR(__xludf.DUMMYFUNCTION("""COMPUTED_VALUE"""),"17.001.0009.0122.0171.2050.33.90.39")</f>
        <v>17.001.0009.0122.0171.2050.33.90.39</v>
      </c>
      <c r="S854" s="2" t="str">
        <f ca="1">IFERROR(__xludf.DUMMYFUNCTION("""COMPUTED_VALUE"""),"00100")</f>
        <v>00100</v>
      </c>
      <c r="T854" s="2">
        <f ca="1">IFERROR(__xludf.DUMMYFUNCTION("""COMPUTED_VALUE"""),2024)</f>
        <v>2024</v>
      </c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</row>
    <row r="855" spans="1:32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>
        <f ca="1">IFERROR(__xludf.DUMMYFUNCTION("""COMPUTED_VALUE"""),2023)</f>
        <v>2023</v>
      </c>
      <c r="Q855" s="2" t="str">
        <f ca="1">IFERROR(__xludf.DUMMYFUNCTION("""COMPUTED_VALUE"""),"0958")</f>
        <v>0958</v>
      </c>
      <c r="R855" s="2" t="str">
        <f ca="1">IFERROR(__xludf.DUMMYFUNCTION("""COMPUTED_VALUE"""),"17.001.0009.0122.0171.2051.33.90.39")</f>
        <v>17.001.0009.0122.0171.2051.33.90.39</v>
      </c>
      <c r="S855" s="2" t="str">
        <f ca="1">IFERROR(__xludf.DUMMYFUNCTION("""COMPUTED_VALUE"""),"00100")</f>
        <v>00100</v>
      </c>
      <c r="T855" s="2">
        <f ca="1">IFERROR(__xludf.DUMMYFUNCTION("""COMPUTED_VALUE"""),2024)</f>
        <v>2024</v>
      </c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</row>
    <row r="856" spans="1:32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>
        <f ca="1">IFERROR(__xludf.DUMMYFUNCTION("""COMPUTED_VALUE"""),2023)</f>
        <v>2023</v>
      </c>
      <c r="Q856" s="2" t="str">
        <f ca="1">IFERROR(__xludf.DUMMYFUNCTION("""COMPUTED_VALUE"""),"0960")</f>
        <v>0960</v>
      </c>
      <c r="R856" s="2" t="str">
        <f ca="1">IFERROR(__xludf.DUMMYFUNCTION("""COMPUTED_VALUE"""),"17.001.0009.0122.0171.2052.33.90.39")</f>
        <v>17.001.0009.0122.0171.2052.33.90.39</v>
      </c>
      <c r="S856" s="2" t="str">
        <f ca="1">IFERROR(__xludf.DUMMYFUNCTION("""COMPUTED_VALUE"""),"00100")</f>
        <v>00100</v>
      </c>
      <c r="T856" s="2">
        <f ca="1">IFERROR(__xludf.DUMMYFUNCTION("""COMPUTED_VALUE"""),2024)</f>
        <v>2024</v>
      </c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</row>
    <row r="857" spans="1:32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>
        <f ca="1">IFERROR(__xludf.DUMMYFUNCTION("""COMPUTED_VALUE"""),2023)</f>
        <v>2023</v>
      </c>
      <c r="Q857" s="2" t="str">
        <f ca="1">IFERROR(__xludf.DUMMYFUNCTION("""COMPUTED_VALUE"""),"0962")</f>
        <v>0962</v>
      </c>
      <c r="R857" s="2" t="str">
        <f ca="1">IFERROR(__xludf.DUMMYFUNCTION("""COMPUTED_VALUE"""),"17.001.0009.0122.0171.2053.33.90.39")</f>
        <v>17.001.0009.0122.0171.2053.33.90.39</v>
      </c>
      <c r="S857" s="2" t="str">
        <f ca="1">IFERROR(__xludf.DUMMYFUNCTION("""COMPUTED_VALUE"""),"00100")</f>
        <v>00100</v>
      </c>
      <c r="T857" s="2">
        <f ca="1">IFERROR(__xludf.DUMMYFUNCTION("""COMPUTED_VALUE"""),2024)</f>
        <v>2024</v>
      </c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</row>
    <row r="858" spans="1:32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>
        <f ca="1">IFERROR(__xludf.DUMMYFUNCTION("""COMPUTED_VALUE"""),2023)</f>
        <v>2023</v>
      </c>
      <c r="Q858" s="2" t="str">
        <f ca="1">IFERROR(__xludf.DUMMYFUNCTION("""COMPUTED_VALUE"""),"0964")</f>
        <v>0964</v>
      </c>
      <c r="R858" s="2" t="str">
        <f ca="1">IFERROR(__xludf.DUMMYFUNCTION("""COMPUTED_VALUE"""),"17.001.0009.0122.0171.2054.33.90.39")</f>
        <v>17.001.0009.0122.0171.2054.33.90.39</v>
      </c>
      <c r="S858" s="2" t="str">
        <f ca="1">IFERROR(__xludf.DUMMYFUNCTION("""COMPUTED_VALUE"""),"00100")</f>
        <v>00100</v>
      </c>
      <c r="T858" s="2">
        <f ca="1">IFERROR(__xludf.DUMMYFUNCTION("""COMPUTED_VALUE"""),2024)</f>
        <v>2024</v>
      </c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</row>
    <row r="859" spans="1:32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>
        <f ca="1">IFERROR(__xludf.DUMMYFUNCTION("""COMPUTED_VALUE"""),2023)</f>
        <v>2023</v>
      </c>
      <c r="Q859" s="2" t="str">
        <f ca="1">IFERROR(__xludf.DUMMYFUNCTION("""COMPUTED_VALUE"""),"0966")</f>
        <v>0966</v>
      </c>
      <c r="R859" s="2" t="str">
        <f ca="1">IFERROR(__xludf.DUMMYFUNCTION("""COMPUTED_VALUE"""),"17.001.0009.0122.0171.2050.33.90.40")</f>
        <v>17.001.0009.0122.0171.2050.33.90.40</v>
      </c>
      <c r="S859" s="2" t="str">
        <f ca="1">IFERROR(__xludf.DUMMYFUNCTION("""COMPUTED_VALUE"""),"00100")</f>
        <v>00100</v>
      </c>
      <c r="T859" s="2">
        <f ca="1">IFERROR(__xludf.DUMMYFUNCTION("""COMPUTED_VALUE"""),2024)</f>
        <v>2024</v>
      </c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</row>
    <row r="860" spans="1:32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>
        <f ca="1">IFERROR(__xludf.DUMMYFUNCTION("""COMPUTED_VALUE"""),2023)</f>
        <v>2023</v>
      </c>
      <c r="Q860" s="2" t="str">
        <f ca="1">IFERROR(__xludf.DUMMYFUNCTION("""COMPUTED_VALUE"""),"0968")</f>
        <v>0968</v>
      </c>
      <c r="R860" s="2" t="str">
        <f ca="1">IFERROR(__xludf.DUMMYFUNCTION("""COMPUTED_VALUE"""),"17.001.0009.0122.0171.2054.33.90.40")</f>
        <v>17.001.0009.0122.0171.2054.33.90.40</v>
      </c>
      <c r="S860" s="2" t="str">
        <f ca="1">IFERROR(__xludf.DUMMYFUNCTION("""COMPUTED_VALUE"""),"00100")</f>
        <v>00100</v>
      </c>
      <c r="T860" s="2">
        <f ca="1">IFERROR(__xludf.DUMMYFUNCTION("""COMPUTED_VALUE"""),2024)</f>
        <v>2024</v>
      </c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</row>
    <row r="861" spans="1:32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>
        <f ca="1">IFERROR(__xludf.DUMMYFUNCTION("""COMPUTED_VALUE"""),2023)</f>
        <v>2023</v>
      </c>
      <c r="Q861" s="2" t="str">
        <f ca="1">IFERROR(__xludf.DUMMYFUNCTION("""COMPUTED_VALUE"""),"0970")</f>
        <v>0970</v>
      </c>
      <c r="R861" s="2" t="str">
        <f ca="1">IFERROR(__xludf.DUMMYFUNCTION("""COMPUTED_VALUE"""),"17.001.0009.0272.0171.2055.33.90.40")</f>
        <v>17.001.0009.0272.0171.2055.33.90.40</v>
      </c>
      <c r="S861" s="2" t="str">
        <f ca="1">IFERROR(__xludf.DUMMYFUNCTION("""COMPUTED_VALUE"""),"00100")</f>
        <v>00100</v>
      </c>
      <c r="T861" s="2">
        <f ca="1">IFERROR(__xludf.DUMMYFUNCTION("""COMPUTED_VALUE"""),2024)</f>
        <v>2024</v>
      </c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</row>
    <row r="862" spans="1:3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>
        <f ca="1">IFERROR(__xludf.DUMMYFUNCTION("""COMPUTED_VALUE"""),2023)</f>
        <v>2023</v>
      </c>
      <c r="Q862" s="2" t="str">
        <f ca="1">IFERROR(__xludf.DUMMYFUNCTION("""COMPUTED_VALUE"""),"0972")</f>
        <v>0972</v>
      </c>
      <c r="R862" s="2" t="str">
        <f ca="1">IFERROR(__xludf.DUMMYFUNCTION("""COMPUTED_VALUE"""),"17.001.0009.0122.0171.2050.33.90.46")</f>
        <v>17.001.0009.0122.0171.2050.33.90.46</v>
      </c>
      <c r="S862" s="2" t="str">
        <f ca="1">IFERROR(__xludf.DUMMYFUNCTION("""COMPUTED_VALUE"""),"00100")</f>
        <v>00100</v>
      </c>
      <c r="T862" s="2">
        <f ca="1">IFERROR(__xludf.DUMMYFUNCTION("""COMPUTED_VALUE"""),2024)</f>
        <v>2024</v>
      </c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</row>
    <row r="863" spans="1:32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>
        <f ca="1">IFERROR(__xludf.DUMMYFUNCTION("""COMPUTED_VALUE"""),2023)</f>
        <v>2023</v>
      </c>
      <c r="Q863" s="2" t="str">
        <f ca="1">IFERROR(__xludf.DUMMYFUNCTION("""COMPUTED_VALUE"""),"0974")</f>
        <v>0974</v>
      </c>
      <c r="R863" s="2" t="str">
        <f ca="1">IFERROR(__xludf.DUMMYFUNCTION("""COMPUTED_VALUE"""),"17.001.0009.0122.0171.0011.33.90.47")</f>
        <v>17.001.0009.0122.0171.0011.33.90.47</v>
      </c>
      <c r="S863" s="2" t="str">
        <f ca="1">IFERROR(__xludf.DUMMYFUNCTION("""COMPUTED_VALUE"""),"00040")</f>
        <v>00040</v>
      </c>
      <c r="T863" s="2">
        <f ca="1">IFERROR(__xludf.DUMMYFUNCTION("""COMPUTED_VALUE"""),2024)</f>
        <v>2024</v>
      </c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</row>
    <row r="864" spans="1:32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>
        <f ca="1">IFERROR(__xludf.DUMMYFUNCTION("""COMPUTED_VALUE"""),2023)</f>
        <v>2023</v>
      </c>
      <c r="Q864" s="2" t="str">
        <f ca="1">IFERROR(__xludf.DUMMYFUNCTION("""COMPUTED_VALUE"""),"0975")</f>
        <v>0975</v>
      </c>
      <c r="R864" s="2" t="str">
        <f ca="1">IFERROR(__xludf.DUMMYFUNCTION("""COMPUTED_VALUE"""),"17.001.0009.0122.0171.0011.33.90.47")</f>
        <v>17.001.0009.0122.0171.0011.33.90.47</v>
      </c>
      <c r="S864" s="2" t="str">
        <f ca="1">IFERROR(__xludf.DUMMYFUNCTION("""COMPUTED_VALUE"""),"00100")</f>
        <v>00100</v>
      </c>
      <c r="T864" s="2">
        <f ca="1">IFERROR(__xludf.DUMMYFUNCTION("""COMPUTED_VALUE"""),2024)</f>
        <v>2024</v>
      </c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</row>
    <row r="865" spans="1:32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>
        <f ca="1">IFERROR(__xludf.DUMMYFUNCTION("""COMPUTED_VALUE"""),2023)</f>
        <v>2023</v>
      </c>
      <c r="Q865" s="2" t="str">
        <f ca="1">IFERROR(__xludf.DUMMYFUNCTION("""COMPUTED_VALUE"""),"0976")</f>
        <v>0976</v>
      </c>
      <c r="R865" s="2" t="str">
        <f ca="1">IFERROR(__xludf.DUMMYFUNCTION("""COMPUTED_VALUE"""),"17.001.0009.0122.0171.0011.33.90.47")</f>
        <v>17.001.0009.0122.0171.0011.33.90.47</v>
      </c>
      <c r="S865" s="2" t="str">
        <f ca="1">IFERROR(__xludf.DUMMYFUNCTION("""COMPUTED_VALUE"""),"00551")</f>
        <v>00551</v>
      </c>
      <c r="T865" s="2">
        <f ca="1">IFERROR(__xludf.DUMMYFUNCTION("""COMPUTED_VALUE"""),2024)</f>
        <v>2024</v>
      </c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</row>
    <row r="866" spans="1:32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>
        <f ca="1">IFERROR(__xludf.DUMMYFUNCTION("""COMPUTED_VALUE"""),2023)</f>
        <v>2023</v>
      </c>
      <c r="Q866" s="2" t="str">
        <f ca="1">IFERROR(__xludf.DUMMYFUNCTION("""COMPUTED_VALUE"""),"0977")</f>
        <v>0977</v>
      </c>
      <c r="R866" s="2" t="str">
        <f ca="1">IFERROR(__xludf.DUMMYFUNCTION("""COMPUTED_VALUE"""),"17.001.0009.0272.0171.2055.33.90.86")</f>
        <v>17.001.0009.0272.0171.2055.33.90.86</v>
      </c>
      <c r="S866" s="2" t="str">
        <f ca="1">IFERROR(__xludf.DUMMYFUNCTION("""COMPUTED_VALUE"""),"00551")</f>
        <v>00551</v>
      </c>
      <c r="T866" s="2">
        <f ca="1">IFERROR(__xludf.DUMMYFUNCTION("""COMPUTED_VALUE"""),2024)</f>
        <v>2024</v>
      </c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</row>
    <row r="867" spans="1:32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>
        <f ca="1">IFERROR(__xludf.DUMMYFUNCTION("""COMPUTED_VALUE"""),2023)</f>
        <v>2023</v>
      </c>
      <c r="Q867" s="2" t="str">
        <f ca="1">IFERROR(__xludf.DUMMYFUNCTION("""COMPUTED_VALUE"""),"0978")</f>
        <v>0978</v>
      </c>
      <c r="R867" s="2" t="str">
        <f ca="1">IFERROR(__xludf.DUMMYFUNCTION("""COMPUTED_VALUE"""),"17.001.0009.0122.0171.0011.33.90.91")</f>
        <v>17.001.0009.0122.0171.0011.33.90.91</v>
      </c>
      <c r="S867" s="2" t="str">
        <f ca="1">IFERROR(__xludf.DUMMYFUNCTION("""COMPUTED_VALUE"""),"00040")</f>
        <v>00040</v>
      </c>
      <c r="T867" s="2">
        <f ca="1">IFERROR(__xludf.DUMMYFUNCTION("""COMPUTED_VALUE"""),2024)</f>
        <v>2024</v>
      </c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</row>
    <row r="868" spans="1:32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>
        <f ca="1">IFERROR(__xludf.DUMMYFUNCTION("""COMPUTED_VALUE"""),2023)</f>
        <v>2023</v>
      </c>
      <c r="Q868" s="2" t="str">
        <f ca="1">IFERROR(__xludf.DUMMYFUNCTION("""COMPUTED_VALUE"""),"0980")</f>
        <v>0980</v>
      </c>
      <c r="R868" s="2" t="str">
        <f ca="1">IFERROR(__xludf.DUMMYFUNCTION("""COMPUTED_VALUE"""),"17.001.0009.0122.0171.0011.33.90.93")</f>
        <v>17.001.0009.0122.0171.0011.33.90.93</v>
      </c>
      <c r="S868" s="2" t="str">
        <f ca="1">IFERROR(__xludf.DUMMYFUNCTION("""COMPUTED_VALUE"""),"00040")</f>
        <v>00040</v>
      </c>
      <c r="T868" s="2">
        <f ca="1">IFERROR(__xludf.DUMMYFUNCTION("""COMPUTED_VALUE"""),2024)</f>
        <v>2024</v>
      </c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</row>
    <row r="869" spans="1:32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>
        <f ca="1">IFERROR(__xludf.DUMMYFUNCTION("""COMPUTED_VALUE"""),2023)</f>
        <v>2023</v>
      </c>
      <c r="Q869" s="2" t="str">
        <f ca="1">IFERROR(__xludf.DUMMYFUNCTION("""COMPUTED_VALUE"""),"0981")</f>
        <v>0981</v>
      </c>
      <c r="R869" s="2" t="str">
        <f ca="1">IFERROR(__xludf.DUMMYFUNCTION("""COMPUTED_VALUE"""),"17.001.0009.0122.0171.0011.33.90.93")</f>
        <v>17.001.0009.0122.0171.0011.33.90.93</v>
      </c>
      <c r="S869" s="2" t="str">
        <f ca="1">IFERROR(__xludf.DUMMYFUNCTION("""COMPUTED_VALUE"""),"00100")</f>
        <v>00100</v>
      </c>
      <c r="T869" s="2">
        <f ca="1">IFERROR(__xludf.DUMMYFUNCTION("""COMPUTED_VALUE"""),2024)</f>
        <v>2024</v>
      </c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</row>
    <row r="870" spans="1:32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>
        <f ca="1">IFERROR(__xludf.DUMMYFUNCTION("""COMPUTED_VALUE"""),2023)</f>
        <v>2023</v>
      </c>
      <c r="Q870" s="2" t="str">
        <f ca="1">IFERROR(__xludf.DUMMYFUNCTION("""COMPUTED_VALUE"""),"0982")</f>
        <v>0982</v>
      </c>
      <c r="R870" s="2" t="str">
        <f ca="1">IFERROR(__xludf.DUMMYFUNCTION("""COMPUTED_VALUE"""),"17.001.0009.0122.0171.0011.33.90.93")</f>
        <v>17.001.0009.0122.0171.0011.33.90.93</v>
      </c>
      <c r="S870" s="2" t="str">
        <f ca="1">IFERROR(__xludf.DUMMYFUNCTION("""COMPUTED_VALUE"""),"00551")</f>
        <v>00551</v>
      </c>
      <c r="T870" s="2">
        <f ca="1">IFERROR(__xludf.DUMMYFUNCTION("""COMPUTED_VALUE"""),2024)</f>
        <v>2024</v>
      </c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</row>
    <row r="871" spans="1:32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>
        <f ca="1">IFERROR(__xludf.DUMMYFUNCTION("""COMPUTED_VALUE"""),2023)</f>
        <v>2023</v>
      </c>
      <c r="Q871" s="2" t="str">
        <f ca="1">IFERROR(__xludf.DUMMYFUNCTION("""COMPUTED_VALUE"""),"0986")</f>
        <v>0986</v>
      </c>
      <c r="R871" s="2" t="str">
        <f ca="1">IFERROR(__xludf.DUMMYFUNCTION("""COMPUTED_VALUE"""),"17.001.0009.0122.0171.1028.44.90.51")</f>
        <v>17.001.0009.0122.0171.1028.44.90.51</v>
      </c>
      <c r="S871" s="2" t="str">
        <f ca="1">IFERROR(__xludf.DUMMYFUNCTION("""COMPUTED_VALUE"""),"00100")</f>
        <v>00100</v>
      </c>
      <c r="T871" s="2">
        <f ca="1">IFERROR(__xludf.DUMMYFUNCTION("""COMPUTED_VALUE"""),2024)</f>
        <v>2024</v>
      </c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</row>
    <row r="872" spans="1:3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>
        <f ca="1">IFERROR(__xludf.DUMMYFUNCTION("""COMPUTED_VALUE"""),2023)</f>
        <v>2023</v>
      </c>
      <c r="Q872" s="2" t="str">
        <f ca="1">IFERROR(__xludf.DUMMYFUNCTION("""COMPUTED_VALUE"""),"0988")</f>
        <v>0988</v>
      </c>
      <c r="R872" s="2" t="str">
        <f ca="1">IFERROR(__xludf.DUMMYFUNCTION("""COMPUTED_VALUE"""),"17.001.0009.0122.0171.1028.44.90.52")</f>
        <v>17.001.0009.0122.0171.1028.44.90.52</v>
      </c>
      <c r="S872" s="2" t="str">
        <f ca="1">IFERROR(__xludf.DUMMYFUNCTION("""COMPUTED_VALUE"""),"00100")</f>
        <v>00100</v>
      </c>
      <c r="T872" s="2">
        <f ca="1">IFERROR(__xludf.DUMMYFUNCTION("""COMPUTED_VALUE"""),2024)</f>
        <v>2024</v>
      </c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</row>
    <row r="873" spans="1:32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>
        <f ca="1">IFERROR(__xludf.DUMMYFUNCTION("""COMPUTED_VALUE"""),2023)</f>
        <v>2023</v>
      </c>
      <c r="Q873" s="2" t="str">
        <f ca="1">IFERROR(__xludf.DUMMYFUNCTION("""COMPUTED_VALUE"""),"0990")</f>
        <v>0990</v>
      </c>
      <c r="R873" s="2" t="str">
        <f ca="1">IFERROR(__xludf.DUMMYFUNCTION("""COMPUTED_VALUE"""),"17.001.0009.0122.0171.2050.44.90.52")</f>
        <v>17.001.0009.0122.0171.2050.44.90.52</v>
      </c>
      <c r="S873" s="2" t="str">
        <f ca="1">IFERROR(__xludf.DUMMYFUNCTION("""COMPUTED_VALUE"""),"00100")</f>
        <v>00100</v>
      </c>
      <c r="T873" s="2">
        <f ca="1">IFERROR(__xludf.DUMMYFUNCTION("""COMPUTED_VALUE"""),2024)</f>
        <v>2024</v>
      </c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</row>
    <row r="874" spans="1:32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>
        <f ca="1">IFERROR(__xludf.DUMMYFUNCTION("""COMPUTED_VALUE"""),2023)</f>
        <v>2023</v>
      </c>
      <c r="Q874" s="2" t="str">
        <f ca="1">IFERROR(__xludf.DUMMYFUNCTION("""COMPUTED_VALUE"""),"0992")</f>
        <v>0992</v>
      </c>
      <c r="R874" s="2" t="str">
        <f ca="1">IFERROR(__xludf.DUMMYFUNCTION("""COMPUTED_VALUE"""),"17.001.0009.0122.0171.2054.44.90.52")</f>
        <v>17.001.0009.0122.0171.2054.44.90.52</v>
      </c>
      <c r="S874" s="2" t="str">
        <f ca="1">IFERROR(__xludf.DUMMYFUNCTION("""COMPUTED_VALUE"""),"00100")</f>
        <v>00100</v>
      </c>
      <c r="T874" s="2">
        <f ca="1">IFERROR(__xludf.DUMMYFUNCTION("""COMPUTED_VALUE"""),2024)</f>
        <v>2024</v>
      </c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</row>
    <row r="875" spans="1:32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>
        <f ca="1">IFERROR(__xludf.DUMMYFUNCTION("""COMPUTED_VALUE"""),2023)</f>
        <v>2023</v>
      </c>
      <c r="Q875" s="2" t="str">
        <f ca="1">IFERROR(__xludf.DUMMYFUNCTION("""COMPUTED_VALUE"""),"0993")</f>
        <v>0993</v>
      </c>
      <c r="R875" s="2" t="str">
        <f ca="1">IFERROR(__xludf.DUMMYFUNCTION("""COMPUTED_VALUE"""),"17.001.0099.0997.9999.9997.99.99.99")</f>
        <v>17.001.0099.0997.9999.9997.99.99.99</v>
      </c>
      <c r="S875" s="2" t="str">
        <f ca="1">IFERROR(__xludf.DUMMYFUNCTION("""COMPUTED_VALUE"""),"00040")</f>
        <v>00040</v>
      </c>
      <c r="T875" s="2">
        <f ca="1">IFERROR(__xludf.DUMMYFUNCTION("""COMPUTED_VALUE"""),2024)</f>
        <v>2024</v>
      </c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</row>
    <row r="876" spans="1:32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>
        <f ca="1">IFERROR(__xludf.DUMMYFUNCTION("""COMPUTED_VALUE"""),2023)</f>
        <v>2023</v>
      </c>
      <c r="Q876" s="2" t="str">
        <f ca="1">IFERROR(__xludf.DUMMYFUNCTION("""COMPUTED_VALUE"""),"0994")</f>
        <v>0994</v>
      </c>
      <c r="R876" s="2" t="str">
        <f ca="1">IFERROR(__xludf.DUMMYFUNCTION("""COMPUTED_VALUE"""),"17.001.0099.0997.9999.9997.99.99.99")</f>
        <v>17.001.0099.0997.9999.9997.99.99.99</v>
      </c>
      <c r="S876" s="2" t="str">
        <f ca="1">IFERROR(__xludf.DUMMYFUNCTION("""COMPUTED_VALUE"""),"00551")</f>
        <v>00551</v>
      </c>
      <c r="T876" s="2">
        <f ca="1">IFERROR(__xludf.DUMMYFUNCTION("""COMPUTED_VALUE"""),2024)</f>
        <v>2024</v>
      </c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</row>
    <row r="877" spans="1:32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>
        <f ca="1">IFERROR(__xludf.DUMMYFUNCTION("""COMPUTED_VALUE"""),2023)</f>
        <v>2023</v>
      </c>
      <c r="Q877" s="2" t="str">
        <f ca="1">IFERROR(__xludf.DUMMYFUNCTION("""COMPUTED_VALUE"""),"1035")</f>
        <v>1035</v>
      </c>
      <c r="R877" s="2" t="str">
        <f ca="1">IFERROR(__xludf.DUMMYFUNCTION("""COMPUTED_VALUE"""),"10.001.0004.0122.0123.1079.44.90.51")</f>
        <v>10.001.0004.0122.0123.1079.44.90.51</v>
      </c>
      <c r="S877" s="2" t="str">
        <f ca="1">IFERROR(__xludf.DUMMYFUNCTION("""COMPUTED_VALUE"""),"00000")</f>
        <v>00000</v>
      </c>
      <c r="T877" s="2">
        <f ca="1">IFERROR(__xludf.DUMMYFUNCTION("""COMPUTED_VALUE"""),2024)</f>
        <v>2024</v>
      </c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</row>
    <row r="878" spans="1:32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>
        <f ca="1">IFERROR(__xludf.DUMMYFUNCTION("""COMPUTED_VALUE"""),2023)</f>
        <v>2023</v>
      </c>
      <c r="Q878" s="2" t="str">
        <f ca="1">IFERROR(__xludf.DUMMYFUNCTION("""COMPUTED_VALUE"""),"1043")</f>
        <v>1043</v>
      </c>
      <c r="R878" s="2" t="str">
        <f ca="1">IFERROR(__xludf.DUMMYFUNCTION("""COMPUTED_VALUE"""),"17.001.0009.0122.0171.2050.31.90.94")</f>
        <v>17.001.0009.0122.0171.2050.31.90.94</v>
      </c>
      <c r="S878" s="2" t="str">
        <f ca="1">IFERROR(__xludf.DUMMYFUNCTION("""COMPUTED_VALUE"""),"00100")</f>
        <v>00100</v>
      </c>
      <c r="T878" s="2">
        <f ca="1">IFERROR(__xludf.DUMMYFUNCTION("""COMPUTED_VALUE"""),2024)</f>
        <v>2024</v>
      </c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</row>
    <row r="879" spans="1:32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>
        <f ca="1">IFERROR(__xludf.DUMMYFUNCTION("""COMPUTED_VALUE"""),2023)</f>
        <v>2023</v>
      </c>
      <c r="Q879" s="2" t="str">
        <f ca="1">IFERROR(__xludf.DUMMYFUNCTION("""COMPUTED_VALUE"""),"1044")</f>
        <v>1044</v>
      </c>
      <c r="R879" s="2" t="str">
        <f ca="1">IFERROR(__xludf.DUMMYFUNCTION("""COMPUTED_VALUE"""),"17.001.0009.0122.0171.2052.33.90.32")</f>
        <v>17.001.0009.0122.0171.2052.33.90.32</v>
      </c>
      <c r="S879" s="2" t="str">
        <f ca="1">IFERROR(__xludf.DUMMYFUNCTION("""COMPUTED_VALUE"""),"00100")</f>
        <v>00100</v>
      </c>
      <c r="T879" s="2">
        <f ca="1">IFERROR(__xludf.DUMMYFUNCTION("""COMPUTED_VALUE"""),2024)</f>
        <v>2024</v>
      </c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</row>
    <row r="880" spans="1:32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>
        <f ca="1">IFERROR(__xludf.DUMMYFUNCTION("""COMPUTED_VALUE"""),2023)</f>
        <v>2023</v>
      </c>
      <c r="Q880" s="2" t="str">
        <f ca="1">IFERROR(__xludf.DUMMYFUNCTION("""COMPUTED_VALUE"""),"1045")</f>
        <v>1045</v>
      </c>
      <c r="R880" s="2" t="str">
        <f ca="1">IFERROR(__xludf.DUMMYFUNCTION("""COMPUTED_VALUE"""),"07.007.0015.0452.0104.2137.33.90.30")</f>
        <v>07.007.0015.0452.0104.2137.33.90.30</v>
      </c>
      <c r="S880" s="2" t="str">
        <f ca="1">IFERROR(__xludf.DUMMYFUNCTION("""COMPUTED_VALUE"""),"00033")</f>
        <v>00033</v>
      </c>
      <c r="T880" s="2">
        <f ca="1">IFERROR(__xludf.DUMMYFUNCTION("""COMPUTED_VALUE"""),2024)</f>
        <v>2024</v>
      </c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</row>
    <row r="881" spans="1:32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>
        <f ca="1">IFERROR(__xludf.DUMMYFUNCTION("""COMPUTED_VALUE"""),2023)</f>
        <v>2023</v>
      </c>
      <c r="Q881" s="2" t="str">
        <f ca="1">IFERROR(__xludf.DUMMYFUNCTION("""COMPUTED_VALUE"""),"1157")</f>
        <v>1157</v>
      </c>
      <c r="R881" s="2" t="str">
        <f ca="1">IFERROR(__xludf.DUMMYFUNCTION("""COMPUTED_VALUE"""),"17.001.0009.0122.0171.2053.33.90.39")</f>
        <v>17.001.0009.0122.0171.2053.33.90.39</v>
      </c>
      <c r="S881" s="2" t="str">
        <f ca="1">IFERROR(__xludf.DUMMYFUNCTION("""COMPUTED_VALUE"""),"00040")</f>
        <v>00040</v>
      </c>
      <c r="T881" s="2">
        <f ca="1">IFERROR(__xludf.DUMMYFUNCTION("""COMPUTED_VALUE"""),2024)</f>
        <v>2024</v>
      </c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</row>
    <row r="882" spans="1:3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>
        <f ca="1">IFERROR(__xludf.DUMMYFUNCTION("""COMPUTED_VALUE"""),2023)</f>
        <v>2023</v>
      </c>
      <c r="Q882" s="2" t="str">
        <f ca="1">IFERROR(__xludf.DUMMYFUNCTION("""COMPUTED_VALUE"""),"1164")</f>
        <v>1164</v>
      </c>
      <c r="R882" s="2" t="str">
        <f ca="1">IFERROR(__xludf.DUMMYFUNCTION("""COMPUTED_VALUE"""),"17.001.0009.0272.0171.0010.31.90.94")</f>
        <v>17.001.0009.0272.0171.0010.31.90.94</v>
      </c>
      <c r="S882" s="2" t="str">
        <f ca="1">IFERROR(__xludf.DUMMYFUNCTION("""COMPUTED_VALUE"""),"00040")</f>
        <v>00040</v>
      </c>
      <c r="T882" s="2">
        <f ca="1">IFERROR(__xludf.DUMMYFUNCTION("""COMPUTED_VALUE"""),2024)</f>
        <v>2024</v>
      </c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</row>
    <row r="883" spans="1:32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>
        <f ca="1">IFERROR(__xludf.DUMMYFUNCTION("""COMPUTED_VALUE"""),2023)</f>
        <v>2023</v>
      </c>
      <c r="Q883" s="2" t="str">
        <f ca="1">IFERROR(__xludf.DUMMYFUNCTION("""COMPUTED_VALUE"""),"1165")</f>
        <v>1165</v>
      </c>
      <c r="R883" s="2" t="str">
        <f ca="1">IFERROR(__xludf.DUMMYFUNCTION("""COMPUTED_VALUE"""),"17.001.0009.0122.0171.0011.33.91.93")</f>
        <v>17.001.0009.0122.0171.0011.33.91.93</v>
      </c>
      <c r="S883" s="2" t="str">
        <f ca="1">IFERROR(__xludf.DUMMYFUNCTION("""COMPUTED_VALUE"""),"00040")</f>
        <v>00040</v>
      </c>
      <c r="T883" s="2">
        <f ca="1">IFERROR(__xludf.DUMMYFUNCTION("""COMPUTED_VALUE"""),2024)</f>
        <v>2024</v>
      </c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</row>
    <row r="884" spans="1:32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>
        <f ca="1">IFERROR(__xludf.DUMMYFUNCTION("""COMPUTED_VALUE"""),2023)</f>
        <v>2023</v>
      </c>
      <c r="Q884" s="2" t="str">
        <f ca="1">IFERROR(__xludf.DUMMYFUNCTION("""COMPUTED_VALUE"""),"1082")</f>
        <v>1082</v>
      </c>
      <c r="R884" s="2" t="str">
        <f ca="1">IFERROR(__xludf.DUMMYFUNCTION("""COMPUTED_VALUE"""),"08.007.0008.0241.0118.2031.33.90.93")</f>
        <v>08.007.0008.0241.0118.2031.33.90.93</v>
      </c>
      <c r="S884" s="2" t="str">
        <f ca="1">IFERROR(__xludf.DUMMYFUNCTION("""COMPUTED_VALUE"""),"0000")</f>
        <v>0000</v>
      </c>
      <c r="T884" s="2">
        <f ca="1">IFERROR(__xludf.DUMMYFUNCTION("""COMPUTED_VALUE"""),2024)</f>
        <v>2024</v>
      </c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</row>
    <row r="885" spans="1:32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>
        <f ca="1">IFERROR(__xludf.DUMMYFUNCTION("""COMPUTED_VALUE"""),2023)</f>
        <v>2023</v>
      </c>
      <c r="Q885" s="2" t="str">
        <f ca="1">IFERROR(__xludf.DUMMYFUNCTION("""COMPUTED_VALUE"""),"1083")</f>
        <v>1083</v>
      </c>
      <c r="R885" s="2" t="str">
        <f ca="1">IFERROR(__xludf.DUMMYFUNCTION("""COMPUTED_VALUE"""),"05.005.0004.0122.0074.2151.33.90.30")</f>
        <v>05.005.0004.0122.0074.2151.33.90.30</v>
      </c>
      <c r="S885" s="2" t="str">
        <f ca="1">IFERROR(__xludf.DUMMYFUNCTION("""COMPUTED_VALUE"""),"0000")</f>
        <v>0000</v>
      </c>
      <c r="T885" s="2">
        <f ca="1">IFERROR(__xludf.DUMMYFUNCTION("""COMPUTED_VALUE"""),2024)</f>
        <v>2024</v>
      </c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</row>
    <row r="886" spans="1:32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>
        <f ca="1">IFERROR(__xludf.DUMMYFUNCTION("""COMPUTED_VALUE"""),2023)</f>
        <v>2023</v>
      </c>
      <c r="Q886" s="2" t="str">
        <f ca="1">IFERROR(__xludf.DUMMYFUNCTION("""COMPUTED_VALUE"""),"1084")</f>
        <v>1084</v>
      </c>
      <c r="R886" s="2" t="str">
        <f ca="1">IFERROR(__xludf.DUMMYFUNCTION("""COMPUTED_VALUE"""),"16.003.0015.0451.0122.1036.44.90.51")</f>
        <v>16.003.0015.0451.0122.1036.44.90.51</v>
      </c>
      <c r="S886" s="2" t="str">
        <f ca="1">IFERROR(__xludf.DUMMYFUNCTION("""COMPUTED_VALUE"""),"0000")</f>
        <v>0000</v>
      </c>
      <c r="T886" s="2">
        <f ca="1">IFERROR(__xludf.DUMMYFUNCTION("""COMPUTED_VALUE"""),2024)</f>
        <v>2024</v>
      </c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</row>
    <row r="887" spans="1:32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>
        <f ca="1">IFERROR(__xludf.DUMMYFUNCTION("""COMPUTED_VALUE"""),2023)</f>
        <v>2023</v>
      </c>
      <c r="Q887" s="2" t="str">
        <f ca="1">IFERROR(__xludf.DUMMYFUNCTION("""COMPUTED_VALUE"""),"1085")</f>
        <v>1085</v>
      </c>
      <c r="R887" s="2" t="str">
        <f ca="1">IFERROR(__xludf.DUMMYFUNCTION("""COMPUTED_VALUE"""),"05.004.0012.0365.0074.6016.33.90.46")</f>
        <v>05.004.0012.0365.0074.6016.33.90.46</v>
      </c>
      <c r="S887" s="2" t="str">
        <f ca="1">IFERROR(__xludf.DUMMYFUNCTION("""COMPUTED_VALUE"""),"00103")</f>
        <v>00103</v>
      </c>
      <c r="T887" s="2">
        <f ca="1">IFERROR(__xludf.DUMMYFUNCTION("""COMPUTED_VALUE"""),2024)</f>
        <v>2024</v>
      </c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</row>
    <row r="888" spans="1:32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>
        <f ca="1">IFERROR(__xludf.DUMMYFUNCTION("""COMPUTED_VALUE"""),2023)</f>
        <v>2023</v>
      </c>
      <c r="Q888" s="2" t="str">
        <f ca="1">IFERROR(__xludf.DUMMYFUNCTION("""COMPUTED_VALUE"""),"1086")</f>
        <v>1086</v>
      </c>
      <c r="R888" s="2" t="str">
        <f ca="1">IFERROR(__xludf.DUMMYFUNCTION("""COMPUTED_VALUE"""),"05.004.0012.0361.0074.6017.33.90.46")</f>
        <v>05.004.0012.0361.0074.6017.33.90.46</v>
      </c>
      <c r="S888" s="2" t="str">
        <f ca="1">IFERROR(__xludf.DUMMYFUNCTION("""COMPUTED_VALUE"""),"00104")</f>
        <v>00104</v>
      </c>
      <c r="T888" s="2">
        <f ca="1">IFERROR(__xludf.DUMMYFUNCTION("""COMPUTED_VALUE"""),2024)</f>
        <v>2024</v>
      </c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</row>
    <row r="889" spans="1:32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>
        <f ca="1">IFERROR(__xludf.DUMMYFUNCTION("""COMPUTED_VALUE"""),2023)</f>
        <v>2023</v>
      </c>
      <c r="Q889" s="2" t="str">
        <f ca="1">IFERROR(__xludf.DUMMYFUNCTION("""COMPUTED_VALUE"""),"1087")</f>
        <v>1087</v>
      </c>
      <c r="R889" s="2" t="str">
        <f ca="1">IFERROR(__xludf.DUMMYFUNCTION("""COMPUTED_VALUE"""),"05.004.0012.0361.0074.6017.33.90.46")</f>
        <v>05.004.0012.0361.0074.6017.33.90.46</v>
      </c>
      <c r="S889" s="2" t="str">
        <f ca="1">IFERROR(__xludf.DUMMYFUNCTION("""COMPUTED_VALUE"""),"00101")</f>
        <v>00101</v>
      </c>
      <c r="T889" s="2">
        <f ca="1">IFERROR(__xludf.DUMMYFUNCTION("""COMPUTED_VALUE"""),2024)</f>
        <v>2024</v>
      </c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</row>
    <row r="890" spans="1:32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>
        <f ca="1">IFERROR(__xludf.DUMMYFUNCTION("""COMPUTED_VALUE"""),2023)</f>
        <v>2023</v>
      </c>
      <c r="Q890" s="2" t="str">
        <f ca="1">IFERROR(__xludf.DUMMYFUNCTION("""COMPUTED_VALUE"""),"1088")</f>
        <v>1088</v>
      </c>
      <c r="R890" s="2" t="str">
        <f ca="1">IFERROR(__xludf.DUMMYFUNCTION("""COMPUTED_VALUE"""),"18.001.0004.0121.0140.2023.33.72.39")</f>
        <v>18.001.0004.0121.0140.2023.33.72.39</v>
      </c>
      <c r="S890" s="2" t="str">
        <f ca="1">IFERROR(__xludf.DUMMYFUNCTION("""COMPUTED_VALUE"""),"0000")</f>
        <v>0000</v>
      </c>
      <c r="T890" s="2">
        <f ca="1">IFERROR(__xludf.DUMMYFUNCTION("""COMPUTED_VALUE"""),2024)</f>
        <v>2024</v>
      </c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</row>
    <row r="891" spans="1:32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>
        <f ca="1">IFERROR(__xludf.DUMMYFUNCTION("""COMPUTED_VALUE"""),2023)</f>
        <v>2023</v>
      </c>
      <c r="Q891" s="2" t="str">
        <f ca="1">IFERROR(__xludf.DUMMYFUNCTION("""COMPUTED_VALUE"""),"1089")</f>
        <v>1089</v>
      </c>
      <c r="R891" s="2" t="str">
        <f ca="1">IFERROR(__xludf.DUMMYFUNCTION("""COMPUTED_VALUE"""),"18.001.0004.0121.0140.1006.44.71.70")</f>
        <v>18.001.0004.0121.0140.1006.44.71.70</v>
      </c>
      <c r="S891" s="2" t="str">
        <f ca="1">IFERROR(__xludf.DUMMYFUNCTION("""COMPUTED_VALUE"""),"0000")</f>
        <v>0000</v>
      </c>
      <c r="T891" s="2">
        <f ca="1">IFERROR(__xludf.DUMMYFUNCTION("""COMPUTED_VALUE"""),2024)</f>
        <v>2024</v>
      </c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</row>
    <row r="892" spans="1:3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>
        <f ca="1">IFERROR(__xludf.DUMMYFUNCTION("""COMPUTED_VALUE"""),2023)</f>
        <v>2023</v>
      </c>
      <c r="Q892" s="2" t="str">
        <f ca="1">IFERROR(__xludf.DUMMYFUNCTION("""COMPUTED_VALUE"""),"1090")</f>
        <v>1090</v>
      </c>
      <c r="R892" s="2" t="str">
        <f ca="1">IFERROR(__xludf.DUMMYFUNCTION("""COMPUTED_VALUE"""),"18.001.0004.0121.0140.2023.31.71.70")</f>
        <v>18.001.0004.0121.0140.2023.31.71.70</v>
      </c>
      <c r="S892" s="2" t="str">
        <f ca="1">IFERROR(__xludf.DUMMYFUNCTION("""COMPUTED_VALUE"""),"0000")</f>
        <v>0000</v>
      </c>
      <c r="T892" s="2">
        <f ca="1">IFERROR(__xludf.DUMMYFUNCTION("""COMPUTED_VALUE"""),2024)</f>
        <v>2024</v>
      </c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</row>
    <row r="893" spans="1:32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>
        <f ca="1">IFERROR(__xludf.DUMMYFUNCTION("""COMPUTED_VALUE"""),2023)</f>
        <v>2023</v>
      </c>
      <c r="Q893" s="2" t="str">
        <f ca="1">IFERROR(__xludf.DUMMYFUNCTION("""COMPUTED_VALUE"""),"1091")</f>
        <v>1091</v>
      </c>
      <c r="R893" s="2" t="str">
        <f ca="1">IFERROR(__xludf.DUMMYFUNCTION("""COMPUTED_VALUE"""),"09.001.0004.0122.0131.2018.33.90.39")</f>
        <v>09.001.0004.0122.0131.2018.33.90.39</v>
      </c>
      <c r="S893" s="2" t="str">
        <f ca="1">IFERROR(__xludf.DUMMYFUNCTION("""COMPUTED_VALUE"""),"05105")</f>
        <v>05105</v>
      </c>
      <c r="T893" s="2">
        <f ca="1">IFERROR(__xludf.DUMMYFUNCTION("""COMPUTED_VALUE"""),2024)</f>
        <v>2024</v>
      </c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</row>
    <row r="894" spans="1:32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>
        <f ca="1">IFERROR(__xludf.DUMMYFUNCTION("""COMPUTED_VALUE"""),2023)</f>
        <v>2023</v>
      </c>
      <c r="Q894" s="2" t="str">
        <f ca="1">IFERROR(__xludf.DUMMYFUNCTION("""COMPUTED_VALUE"""),"1092")</f>
        <v>1092</v>
      </c>
      <c r="R894" s="2" t="str">
        <f ca="1">IFERROR(__xludf.DUMMYFUNCTION("""COMPUTED_VALUE"""),"09.001.0004.0129.0131.2019.33.90.30")</f>
        <v>09.001.0004.0129.0131.2019.33.90.30</v>
      </c>
      <c r="S894" s="2" t="str">
        <f ca="1">IFERROR(__xludf.DUMMYFUNCTION("""COMPUTED_VALUE"""),"05105")</f>
        <v>05105</v>
      </c>
      <c r="T894" s="2">
        <f ca="1">IFERROR(__xludf.DUMMYFUNCTION("""COMPUTED_VALUE"""),2024)</f>
        <v>2024</v>
      </c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</row>
    <row r="895" spans="1:32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>
        <f ca="1">IFERROR(__xludf.DUMMYFUNCTION("""COMPUTED_VALUE"""),2023)</f>
        <v>2023</v>
      </c>
      <c r="Q895" s="2" t="str">
        <f ca="1">IFERROR(__xludf.DUMMYFUNCTION("""COMPUTED_VALUE"""),"1093")</f>
        <v>1093</v>
      </c>
      <c r="R895" s="2" t="str">
        <f ca="1">IFERROR(__xludf.DUMMYFUNCTION("""COMPUTED_VALUE"""),"09.001.0004.0122.0131.2020.33.90.14")</f>
        <v>09.001.0004.0122.0131.2020.33.90.14</v>
      </c>
      <c r="S895" s="2" t="str">
        <f ca="1">IFERROR(__xludf.DUMMYFUNCTION("""COMPUTED_VALUE"""),"05105")</f>
        <v>05105</v>
      </c>
      <c r="T895" s="2">
        <f ca="1">IFERROR(__xludf.DUMMYFUNCTION("""COMPUTED_VALUE"""),2024)</f>
        <v>2024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</row>
    <row r="896" spans="1:32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>
        <f ca="1">IFERROR(__xludf.DUMMYFUNCTION("""COMPUTED_VALUE"""),2023)</f>
        <v>2023</v>
      </c>
      <c r="Q896" s="2" t="str">
        <f ca="1">IFERROR(__xludf.DUMMYFUNCTION("""COMPUTED_VALUE"""),"1094")</f>
        <v>1094</v>
      </c>
      <c r="R896" s="2" t="str">
        <f ca="1">IFERROR(__xludf.DUMMYFUNCTION("""COMPUTED_VALUE"""),"09.001.0004.0122.0131.2020.33.90.30")</f>
        <v>09.001.0004.0122.0131.2020.33.90.30</v>
      </c>
      <c r="S896" s="2" t="str">
        <f ca="1">IFERROR(__xludf.DUMMYFUNCTION("""COMPUTED_VALUE"""),"05105")</f>
        <v>05105</v>
      </c>
      <c r="T896" s="2">
        <f ca="1">IFERROR(__xludf.DUMMYFUNCTION("""COMPUTED_VALUE"""),2024)</f>
        <v>2024</v>
      </c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</row>
    <row r="897" spans="1:32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>
        <f ca="1">IFERROR(__xludf.DUMMYFUNCTION("""COMPUTED_VALUE"""),2023)</f>
        <v>2023</v>
      </c>
      <c r="Q897" s="2" t="str">
        <f ca="1">IFERROR(__xludf.DUMMYFUNCTION("""COMPUTED_VALUE"""),"1095")</f>
        <v>1095</v>
      </c>
      <c r="R897" s="2" t="str">
        <f ca="1">IFERROR(__xludf.DUMMYFUNCTION("""COMPUTED_VALUE"""),"09.001.0004.0122.0131.2020.33.90.33")</f>
        <v>09.001.0004.0122.0131.2020.33.90.33</v>
      </c>
      <c r="S897" s="2" t="str">
        <f ca="1">IFERROR(__xludf.DUMMYFUNCTION("""COMPUTED_VALUE"""),"05105")</f>
        <v>05105</v>
      </c>
      <c r="T897" s="2">
        <f ca="1">IFERROR(__xludf.DUMMYFUNCTION("""COMPUTED_VALUE"""),2024)</f>
        <v>2024</v>
      </c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</row>
    <row r="898" spans="1:32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>
        <f ca="1">IFERROR(__xludf.DUMMYFUNCTION("""COMPUTED_VALUE"""),2023)</f>
        <v>2023</v>
      </c>
      <c r="Q898" s="2" t="str">
        <f ca="1">IFERROR(__xludf.DUMMYFUNCTION("""COMPUTED_VALUE"""),"1096")</f>
        <v>1096</v>
      </c>
      <c r="R898" s="2" t="str">
        <f ca="1">IFERROR(__xludf.DUMMYFUNCTION("""COMPUTED_VALUE"""),"09.001.0004.0122.0131.2020.33.90.36")</f>
        <v>09.001.0004.0122.0131.2020.33.90.36</v>
      </c>
      <c r="S898" s="2" t="str">
        <f ca="1">IFERROR(__xludf.DUMMYFUNCTION("""COMPUTED_VALUE"""),"05105")</f>
        <v>05105</v>
      </c>
      <c r="T898" s="2">
        <f ca="1">IFERROR(__xludf.DUMMYFUNCTION("""COMPUTED_VALUE"""),2024)</f>
        <v>2024</v>
      </c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</row>
    <row r="899" spans="1:32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>
        <f ca="1">IFERROR(__xludf.DUMMYFUNCTION("""COMPUTED_VALUE"""),2023)</f>
        <v>2023</v>
      </c>
      <c r="Q899" s="2" t="str">
        <f ca="1">IFERROR(__xludf.DUMMYFUNCTION("""COMPUTED_VALUE"""),"1097")</f>
        <v>1097</v>
      </c>
      <c r="R899" s="2" t="str">
        <f ca="1">IFERROR(__xludf.DUMMYFUNCTION("""COMPUTED_VALUE"""),"09.001.0004.0122.0131.2020.33.90.39")</f>
        <v>09.001.0004.0122.0131.2020.33.90.39</v>
      </c>
      <c r="S899" s="2" t="str">
        <f ca="1">IFERROR(__xludf.DUMMYFUNCTION("""COMPUTED_VALUE"""),"05105")</f>
        <v>05105</v>
      </c>
      <c r="T899" s="2">
        <f ca="1">IFERROR(__xludf.DUMMYFUNCTION("""COMPUTED_VALUE"""),2024)</f>
        <v>2024</v>
      </c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</row>
    <row r="900" spans="1:32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>
        <f ca="1">IFERROR(__xludf.DUMMYFUNCTION("""COMPUTED_VALUE"""),2023)</f>
        <v>2023</v>
      </c>
      <c r="Q900" s="2" t="str">
        <f ca="1">IFERROR(__xludf.DUMMYFUNCTION("""COMPUTED_VALUE"""),"1098")</f>
        <v>1098</v>
      </c>
      <c r="R900" s="2" t="str">
        <f ca="1">IFERROR(__xludf.DUMMYFUNCTION("""COMPUTED_VALUE"""),"09.001.0004.0122.0131.2020.33.90.40")</f>
        <v>09.001.0004.0122.0131.2020.33.90.40</v>
      </c>
      <c r="S900" s="2" t="str">
        <f ca="1">IFERROR(__xludf.DUMMYFUNCTION("""COMPUTED_VALUE"""),"05105")</f>
        <v>05105</v>
      </c>
      <c r="T900" s="2">
        <f ca="1">IFERROR(__xludf.DUMMYFUNCTION("""COMPUTED_VALUE"""),2024)</f>
        <v>2024</v>
      </c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</row>
    <row r="901" spans="1:32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>
        <f ca="1">IFERROR(__xludf.DUMMYFUNCTION("""COMPUTED_VALUE"""),2023)</f>
        <v>2023</v>
      </c>
      <c r="Q901" s="2" t="str">
        <f ca="1">IFERROR(__xludf.DUMMYFUNCTION("""COMPUTED_VALUE"""),"1099")</f>
        <v>1099</v>
      </c>
      <c r="R901" s="2" t="str">
        <f ca="1">IFERROR(__xludf.DUMMYFUNCTION("""COMPUTED_VALUE"""),"09.001.0004.0122.0131.2020.44.90.52")</f>
        <v>09.001.0004.0122.0131.2020.44.90.52</v>
      </c>
      <c r="S901" s="2" t="str">
        <f ca="1">IFERROR(__xludf.DUMMYFUNCTION("""COMPUTED_VALUE"""),"05105")</f>
        <v>05105</v>
      </c>
      <c r="T901" s="2">
        <f ca="1">IFERROR(__xludf.DUMMYFUNCTION("""COMPUTED_VALUE"""),2024)</f>
        <v>2024</v>
      </c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</row>
    <row r="902" spans="1:3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>
        <f ca="1">IFERROR(__xludf.DUMMYFUNCTION("""COMPUTED_VALUE"""),2023)</f>
        <v>2023</v>
      </c>
      <c r="Q902" s="2" t="str">
        <f ca="1">IFERROR(__xludf.DUMMYFUNCTION("""COMPUTED_VALUE"""),"1100")</f>
        <v>1100</v>
      </c>
      <c r="R902" s="2" t="str">
        <f ca="1">IFERROR(__xludf.DUMMYFUNCTION("""COMPUTED_VALUE"""),"09.001.0004.0121.0131.2021.33.90.30")</f>
        <v>09.001.0004.0121.0131.2021.33.90.30</v>
      </c>
      <c r="S902" s="2" t="str">
        <f ca="1">IFERROR(__xludf.DUMMYFUNCTION("""COMPUTED_VALUE"""),"05105")</f>
        <v>05105</v>
      </c>
      <c r="T902" s="2">
        <f ca="1">IFERROR(__xludf.DUMMYFUNCTION("""COMPUTED_VALUE"""),2024)</f>
        <v>2024</v>
      </c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</row>
    <row r="903" spans="1:32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>
        <f ca="1">IFERROR(__xludf.DUMMYFUNCTION("""COMPUTED_VALUE"""),2023)</f>
        <v>2023</v>
      </c>
      <c r="Q903" s="2" t="str">
        <f ca="1">IFERROR(__xludf.DUMMYFUNCTION("""COMPUTED_VALUE"""),"1101")</f>
        <v>1101</v>
      </c>
      <c r="R903" s="2" t="str">
        <f ca="1">IFERROR(__xludf.DUMMYFUNCTION("""COMPUTED_VALUE"""),"09.001.0004.0121.0131.2021.33.90.39")</f>
        <v>09.001.0004.0121.0131.2021.33.90.39</v>
      </c>
      <c r="S903" s="2" t="str">
        <f ca="1">IFERROR(__xludf.DUMMYFUNCTION("""COMPUTED_VALUE"""),"05105")</f>
        <v>05105</v>
      </c>
      <c r="T903" s="2">
        <f ca="1">IFERROR(__xludf.DUMMYFUNCTION("""COMPUTED_VALUE"""),2024)</f>
        <v>2024</v>
      </c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</row>
    <row r="904" spans="1:32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>
        <f ca="1">IFERROR(__xludf.DUMMYFUNCTION("""COMPUTED_VALUE"""),2023)</f>
        <v>2023</v>
      </c>
      <c r="Q904" s="2" t="str">
        <f ca="1">IFERROR(__xludf.DUMMYFUNCTION("""COMPUTED_VALUE"""),"1102")</f>
        <v>1102</v>
      </c>
      <c r="R904" s="2" t="str">
        <f ca="1">IFERROR(__xludf.DUMMYFUNCTION("""COMPUTED_VALUE"""),"05.004.0012.0361.0074.6017.31.91.13")</f>
        <v>05.004.0012.0361.0074.6017.31.91.13</v>
      </c>
      <c r="S904" s="2" t="str">
        <f ca="1">IFERROR(__xludf.DUMMYFUNCTION("""COMPUTED_VALUE"""),"01036")</f>
        <v>01036</v>
      </c>
      <c r="T904" s="2">
        <f ca="1">IFERROR(__xludf.DUMMYFUNCTION("""COMPUTED_VALUE"""),2024)</f>
        <v>2024</v>
      </c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</row>
    <row r="905" spans="1:32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>
        <f ca="1">IFERROR(__xludf.DUMMYFUNCTION("""COMPUTED_VALUE"""),2023)</f>
        <v>2023</v>
      </c>
      <c r="Q905" s="2" t="str">
        <f ca="1">IFERROR(__xludf.DUMMYFUNCTION("""COMPUTED_VALUE"""),"1103")</f>
        <v>1103</v>
      </c>
      <c r="R905" s="2" t="str">
        <f ca="1">IFERROR(__xludf.DUMMYFUNCTION("""COMPUTED_VALUE"""),"12.004.0023.0695.0113.2152.33.90.30")</f>
        <v>12.004.0023.0695.0113.2152.33.90.30</v>
      </c>
      <c r="S905" s="2" t="str">
        <f ca="1">IFERROR(__xludf.DUMMYFUNCTION("""COMPUTED_VALUE"""),"0000")</f>
        <v>0000</v>
      </c>
      <c r="T905" s="2">
        <f ca="1">IFERROR(__xludf.DUMMYFUNCTION("""COMPUTED_VALUE"""),2024)</f>
        <v>2024</v>
      </c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</row>
    <row r="906" spans="1:32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>
        <f ca="1">IFERROR(__xludf.DUMMYFUNCTION("""COMPUTED_VALUE"""),2023)</f>
        <v>2023</v>
      </c>
      <c r="Q906" s="2" t="str">
        <f ca="1">IFERROR(__xludf.DUMMYFUNCTION("""COMPUTED_VALUE"""),"1104")</f>
        <v>1104</v>
      </c>
      <c r="R906" s="2" t="str">
        <f ca="1">IFERROR(__xludf.DUMMYFUNCTION("""COMPUTED_VALUE"""),"12.004.0023.0695.0113.2152.33.90.31")</f>
        <v>12.004.0023.0695.0113.2152.33.90.31</v>
      </c>
      <c r="S906" s="2" t="str">
        <f ca="1">IFERROR(__xludf.DUMMYFUNCTION("""COMPUTED_VALUE"""),"0000")</f>
        <v>0000</v>
      </c>
      <c r="T906" s="2">
        <f ca="1">IFERROR(__xludf.DUMMYFUNCTION("""COMPUTED_VALUE"""),2024)</f>
        <v>2024</v>
      </c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</row>
    <row r="907" spans="1:32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>
        <f ca="1">IFERROR(__xludf.DUMMYFUNCTION("""COMPUTED_VALUE"""),2023)</f>
        <v>2023</v>
      </c>
      <c r="Q907" s="2" t="str">
        <f ca="1">IFERROR(__xludf.DUMMYFUNCTION("""COMPUTED_VALUE"""),"1105")</f>
        <v>1105</v>
      </c>
      <c r="R907" s="2" t="str">
        <f ca="1">IFERROR(__xludf.DUMMYFUNCTION("""COMPUTED_VALUE"""),"12.004.0023.0695.0113.2152.33.90.32")</f>
        <v>12.004.0023.0695.0113.2152.33.90.32</v>
      </c>
      <c r="S907" s="2" t="str">
        <f ca="1">IFERROR(__xludf.DUMMYFUNCTION("""COMPUTED_VALUE"""),"0000")</f>
        <v>0000</v>
      </c>
      <c r="T907" s="2">
        <f ca="1">IFERROR(__xludf.DUMMYFUNCTION("""COMPUTED_VALUE"""),2024)</f>
        <v>2024</v>
      </c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</row>
    <row r="908" spans="1:32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>
        <f ca="1">IFERROR(__xludf.DUMMYFUNCTION("""COMPUTED_VALUE"""),2023)</f>
        <v>2023</v>
      </c>
      <c r="Q908" s="2" t="str">
        <f ca="1">IFERROR(__xludf.DUMMYFUNCTION("""COMPUTED_VALUE"""),"1106")</f>
        <v>1106</v>
      </c>
      <c r="R908" s="2" t="str">
        <f ca="1">IFERROR(__xludf.DUMMYFUNCTION("""COMPUTED_VALUE"""),"12.004.0023.0695.0113.2152.33.90.39")</f>
        <v>12.004.0023.0695.0113.2152.33.90.39</v>
      </c>
      <c r="S908" s="2" t="str">
        <f ca="1">IFERROR(__xludf.DUMMYFUNCTION("""COMPUTED_VALUE"""),"0000")</f>
        <v>0000</v>
      </c>
      <c r="T908" s="2">
        <f ca="1">IFERROR(__xludf.DUMMYFUNCTION("""COMPUTED_VALUE"""),2024)</f>
        <v>2024</v>
      </c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</row>
    <row r="909" spans="1:32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>
        <f ca="1">IFERROR(__xludf.DUMMYFUNCTION("""COMPUTED_VALUE"""),2023)</f>
        <v>2023</v>
      </c>
      <c r="Q909" s="2" t="str">
        <f ca="1">IFERROR(__xludf.DUMMYFUNCTION("""COMPUTED_VALUE"""),"1130")</f>
        <v>1130</v>
      </c>
      <c r="R909" s="2" t="str">
        <f ca="1">IFERROR(__xludf.DUMMYFUNCTION("""COMPUTED_VALUE"""),"16.005.0016.0482.0122.1078.44.90.51")</f>
        <v>16.005.0016.0482.0122.1078.44.90.51</v>
      </c>
      <c r="S909" s="2" t="str">
        <f ca="1">IFERROR(__xludf.DUMMYFUNCTION("""COMPUTED_VALUE"""),"05104")</f>
        <v>05104</v>
      </c>
      <c r="T909" s="2">
        <f ca="1">IFERROR(__xludf.DUMMYFUNCTION("""COMPUTED_VALUE"""),2024)</f>
        <v>2024</v>
      </c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</row>
    <row r="910" spans="1:32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>
        <f ca="1">IFERROR(__xludf.DUMMYFUNCTION("""COMPUTED_VALUE"""),2023)</f>
        <v>2023</v>
      </c>
      <c r="Q910" s="2" t="str">
        <f ca="1">IFERROR(__xludf.DUMMYFUNCTION("""COMPUTED_VALUE"""),"1131")</f>
        <v>1131</v>
      </c>
      <c r="R910" s="2" t="str">
        <f ca="1">IFERROR(__xludf.DUMMYFUNCTION("""COMPUTED_VALUE"""),"16.005.0016.0482.0122.1078.44.90.51")</f>
        <v>16.005.0016.0482.0122.1078.44.90.51</v>
      </c>
      <c r="S910" s="2" t="str">
        <f ca="1">IFERROR(__xludf.DUMMYFUNCTION("""COMPUTED_VALUE"""),"05011")</f>
        <v>05011</v>
      </c>
      <c r="T910" s="2">
        <f ca="1">IFERROR(__xludf.DUMMYFUNCTION("""COMPUTED_VALUE"""),2024)</f>
        <v>2024</v>
      </c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</row>
    <row r="911" spans="1:32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>
        <f ca="1">IFERROR(__xludf.DUMMYFUNCTION("""COMPUTED_VALUE"""),2023)</f>
        <v>2023</v>
      </c>
      <c r="Q911" s="2" t="str">
        <f ca="1">IFERROR(__xludf.DUMMYFUNCTION("""COMPUTED_VALUE"""),"1132")</f>
        <v>1132</v>
      </c>
      <c r="R911" s="2" t="str">
        <f ca="1">IFERROR(__xludf.DUMMYFUNCTION("""COMPUTED_VALUE"""),"16.005.0016.0482.0122.1078.44.90.51")</f>
        <v>16.005.0016.0482.0122.1078.44.90.51</v>
      </c>
      <c r="S911" s="2" t="str">
        <f ca="1">IFERROR(__xludf.DUMMYFUNCTION("""COMPUTED_VALUE"""),"00510")</f>
        <v>00510</v>
      </c>
      <c r="T911" s="2">
        <f ca="1">IFERROR(__xludf.DUMMYFUNCTION("""COMPUTED_VALUE"""),2024)</f>
        <v>2024</v>
      </c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</row>
    <row r="912" spans="1:3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>
        <f ca="1">IFERROR(__xludf.DUMMYFUNCTION("""COMPUTED_VALUE"""),2023)</f>
        <v>2023</v>
      </c>
      <c r="Q912" s="2" t="str">
        <f ca="1">IFERROR(__xludf.DUMMYFUNCTION("""COMPUTED_VALUE"""),"1133")</f>
        <v>1133</v>
      </c>
      <c r="R912" s="2" t="str">
        <f ca="1">IFERROR(__xludf.DUMMYFUNCTION("""COMPUTED_VALUE"""),"08.005.0008.0243.0118.5000.44.90.52")</f>
        <v>08.005.0008.0243.0118.5000.44.90.52</v>
      </c>
      <c r="S912" s="2" t="str">
        <f ca="1">IFERROR(__xludf.DUMMYFUNCTION("""COMPUTED_VALUE"""),"00501")</f>
        <v>00501</v>
      </c>
      <c r="T912" s="2">
        <f ca="1">IFERROR(__xludf.DUMMYFUNCTION("""COMPUTED_VALUE"""),2024)</f>
        <v>2024</v>
      </c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</row>
    <row r="913" spans="1:32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>
        <f ca="1">IFERROR(__xludf.DUMMYFUNCTION("""COMPUTED_VALUE"""),2023)</f>
        <v>2023</v>
      </c>
      <c r="Q913" s="2" t="str">
        <f ca="1">IFERROR(__xludf.DUMMYFUNCTION("""COMPUTED_VALUE"""),"1134")</f>
        <v>1134</v>
      </c>
      <c r="R913" s="2" t="str">
        <f ca="1">IFERROR(__xludf.DUMMYFUNCTION("""COMPUTED_VALUE"""),"08.003.0008.0244.0118.1013.44.90.52")</f>
        <v>08.003.0008.0244.0118.1013.44.90.52</v>
      </c>
      <c r="S913" s="2" t="str">
        <f ca="1">IFERROR(__xludf.DUMMYFUNCTION("""COMPUTED_VALUE"""),"00941")</f>
        <v>00941</v>
      </c>
      <c r="T913" s="2">
        <f ca="1">IFERROR(__xludf.DUMMYFUNCTION("""COMPUTED_VALUE"""),2024)</f>
        <v>2024</v>
      </c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</row>
    <row r="914" spans="1:32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>
        <f ca="1">IFERROR(__xludf.DUMMYFUNCTION("""COMPUTED_VALUE"""),2023)</f>
        <v>2023</v>
      </c>
      <c r="Q914" s="2" t="str">
        <f ca="1">IFERROR(__xludf.DUMMYFUNCTION("""COMPUTED_VALUE"""),"1135")</f>
        <v>1135</v>
      </c>
      <c r="R914" s="2" t="str">
        <f ca="1">IFERROR(__xludf.DUMMYFUNCTION("""COMPUTED_VALUE"""),"08.005.0008.0243.0118.6001.33.90.48")</f>
        <v>08.005.0008.0243.0118.6001.33.90.48</v>
      </c>
      <c r="S914" s="2" t="str">
        <f ca="1">IFERROR(__xludf.DUMMYFUNCTION("""COMPUTED_VALUE"""),"00914")</f>
        <v>00914</v>
      </c>
      <c r="T914" s="2">
        <f ca="1">IFERROR(__xludf.DUMMYFUNCTION("""COMPUTED_VALUE"""),2024)</f>
        <v>2024</v>
      </c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</row>
    <row r="915" spans="1:32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>
        <f ca="1">IFERROR(__xludf.DUMMYFUNCTION("""COMPUTED_VALUE"""),2023)</f>
        <v>2023</v>
      </c>
      <c r="Q915" s="2" t="str">
        <f ca="1">IFERROR(__xludf.DUMMYFUNCTION("""COMPUTED_VALUE"""),"1136")</f>
        <v>1136</v>
      </c>
      <c r="R915" s="2" t="str">
        <f ca="1">IFERROR(__xludf.DUMMYFUNCTION("""COMPUTED_VALUE"""),"08.007.0008.0241.0118.2031.33.90.39")</f>
        <v>08.007.0008.0241.0118.2031.33.90.39</v>
      </c>
      <c r="S915" s="2" t="str">
        <f ca="1">IFERROR(__xludf.DUMMYFUNCTION("""COMPUTED_VALUE"""),"00902")</f>
        <v>00902</v>
      </c>
      <c r="T915" s="2">
        <f ca="1">IFERROR(__xludf.DUMMYFUNCTION("""COMPUTED_VALUE"""),2024)</f>
        <v>2024</v>
      </c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</row>
    <row r="916" spans="1:32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>
        <f ca="1">IFERROR(__xludf.DUMMYFUNCTION("""COMPUTED_VALUE"""),2023)</f>
        <v>2023</v>
      </c>
      <c r="Q916" s="2" t="str">
        <f ca="1">IFERROR(__xludf.DUMMYFUNCTION("""COMPUTED_VALUE"""),"1137")</f>
        <v>1137</v>
      </c>
      <c r="R916" s="2" t="str">
        <f ca="1">IFERROR(__xludf.DUMMYFUNCTION("""COMPUTED_VALUE"""),"08.007.0008.0241.0118.2031.33.90.40")</f>
        <v>08.007.0008.0241.0118.2031.33.90.40</v>
      </c>
      <c r="S916" s="2" t="str">
        <f ca="1">IFERROR(__xludf.DUMMYFUNCTION("""COMPUTED_VALUE"""),"00902")</f>
        <v>00902</v>
      </c>
      <c r="T916" s="2">
        <f ca="1">IFERROR(__xludf.DUMMYFUNCTION("""COMPUTED_VALUE"""),2024)</f>
        <v>2024</v>
      </c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</row>
    <row r="917" spans="1:32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>
        <f ca="1">IFERROR(__xludf.DUMMYFUNCTION("""COMPUTED_VALUE"""),2023)</f>
        <v>2023</v>
      </c>
      <c r="Q917" s="2" t="str">
        <f ca="1">IFERROR(__xludf.DUMMYFUNCTION("""COMPUTED_VALUE"""),"1138")</f>
        <v>1138</v>
      </c>
      <c r="R917" s="2" t="str">
        <f ca="1">IFERROR(__xludf.DUMMYFUNCTION("""COMPUTED_VALUE"""),"08.005.0008.0243.0118.6001.33.90.39")</f>
        <v>08.005.0008.0243.0118.6001.33.90.39</v>
      </c>
      <c r="S917" s="2" t="str">
        <f ca="1">IFERROR(__xludf.DUMMYFUNCTION("""COMPUTED_VALUE"""),"00879")</f>
        <v>00879</v>
      </c>
      <c r="T917" s="2">
        <f ca="1">IFERROR(__xludf.DUMMYFUNCTION("""COMPUTED_VALUE"""),2024)</f>
        <v>2024</v>
      </c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</row>
    <row r="918" spans="1:32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>
        <f ca="1">IFERROR(__xludf.DUMMYFUNCTION("""COMPUTED_VALUE"""),2023)</f>
        <v>2023</v>
      </c>
      <c r="Q918" s="2" t="str">
        <f ca="1">IFERROR(__xludf.DUMMYFUNCTION("""COMPUTED_VALUE"""),"1139")</f>
        <v>1139</v>
      </c>
      <c r="R918" s="2" t="str">
        <f ca="1">IFERROR(__xludf.DUMMYFUNCTION("""COMPUTED_VALUE"""),"08.005.0008.0243.0118.6001.33.90.48")</f>
        <v>08.005.0008.0243.0118.6001.33.90.48</v>
      </c>
      <c r="S918" s="2" t="str">
        <f ca="1">IFERROR(__xludf.DUMMYFUNCTION("""COMPUTED_VALUE"""),"00879")</f>
        <v>00879</v>
      </c>
      <c r="T918" s="2">
        <f ca="1">IFERROR(__xludf.DUMMYFUNCTION("""COMPUTED_VALUE"""),2024)</f>
        <v>2024</v>
      </c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</row>
    <row r="919" spans="1:32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>
        <f ca="1">IFERROR(__xludf.DUMMYFUNCTION("""COMPUTED_VALUE"""),2023)</f>
        <v>2023</v>
      </c>
      <c r="Q919" s="2" t="str">
        <f ca="1">IFERROR(__xludf.DUMMYFUNCTION("""COMPUTED_VALUE"""),"1140")</f>
        <v>1140</v>
      </c>
      <c r="R919" s="2" t="str">
        <f ca="1">IFERROR(__xludf.DUMMYFUNCTION("""COMPUTED_VALUE"""),"06.001.0010.0301.0094.2039.33.72.32")</f>
        <v>06.001.0010.0301.0094.2039.33.72.32</v>
      </c>
      <c r="S919" s="2" t="str">
        <f ca="1">IFERROR(__xludf.DUMMYFUNCTION("""COMPUTED_VALUE"""),"01016")</f>
        <v>01016</v>
      </c>
      <c r="T919" s="2">
        <f ca="1">IFERROR(__xludf.DUMMYFUNCTION("""COMPUTED_VALUE"""),2024)</f>
        <v>2024</v>
      </c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</row>
    <row r="920" spans="1:32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>
        <f ca="1">IFERROR(__xludf.DUMMYFUNCTION("""COMPUTED_VALUE"""),2023)</f>
        <v>2023</v>
      </c>
      <c r="Q920" s="2" t="str">
        <f ca="1">IFERROR(__xludf.DUMMYFUNCTION("""COMPUTED_VALUE"""),"1141")</f>
        <v>1141</v>
      </c>
      <c r="R920" s="2" t="str">
        <f ca="1">IFERROR(__xludf.DUMMYFUNCTION("""COMPUTED_VALUE"""),"06.001.0010.0301.0094.2039.33.90.39")</f>
        <v>06.001.0010.0301.0094.2039.33.90.39</v>
      </c>
      <c r="S920" s="2" t="str">
        <f ca="1">IFERROR(__xludf.DUMMYFUNCTION("""COMPUTED_VALUE"""),"01016")</f>
        <v>01016</v>
      </c>
      <c r="T920" s="2">
        <f ca="1">IFERROR(__xludf.DUMMYFUNCTION("""COMPUTED_VALUE"""),2024)</f>
        <v>2024</v>
      </c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</row>
    <row r="921" spans="1:32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>
        <f ca="1">IFERROR(__xludf.DUMMYFUNCTION("""COMPUTED_VALUE"""),2023)</f>
        <v>2023</v>
      </c>
      <c r="Q921" s="2" t="str">
        <f ca="1">IFERROR(__xludf.DUMMYFUNCTION("""COMPUTED_VALUE"""),"1142")</f>
        <v>1142</v>
      </c>
      <c r="R921" s="2" t="str">
        <f ca="1">IFERROR(__xludf.DUMMYFUNCTION("""COMPUTED_VALUE"""),"06.001.0010.0302.0094.2044.33.90.39")</f>
        <v>06.001.0010.0302.0094.2044.33.90.39</v>
      </c>
      <c r="S921" s="2" t="str">
        <f ca="1">IFERROR(__xludf.DUMMYFUNCTION("""COMPUTED_VALUE"""),"00496")</f>
        <v>00496</v>
      </c>
      <c r="T921" s="2">
        <f ca="1">IFERROR(__xludf.DUMMYFUNCTION("""COMPUTED_VALUE"""),2024)</f>
        <v>2024</v>
      </c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</row>
    <row r="922" spans="1:3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>
        <f ca="1">IFERROR(__xludf.DUMMYFUNCTION("""COMPUTED_VALUE"""),2023)</f>
        <v>2023</v>
      </c>
      <c r="Q922" s="2" t="str">
        <f ca="1">IFERROR(__xludf.DUMMYFUNCTION("""COMPUTED_VALUE"""),"1143")</f>
        <v>1143</v>
      </c>
      <c r="R922" s="2" t="str">
        <f ca="1">IFERROR(__xludf.DUMMYFUNCTION("""COMPUTED_VALUE"""),"05.004.0012.0361.0074.6017.31.91.13")</f>
        <v>05.004.0012.0361.0074.6017.31.91.13</v>
      </c>
      <c r="S922" s="2" t="str">
        <f ca="1">IFERROR(__xludf.DUMMYFUNCTION("""COMPUTED_VALUE"""),"00102")</f>
        <v>00102</v>
      </c>
      <c r="T922" s="2">
        <f ca="1">IFERROR(__xludf.DUMMYFUNCTION("""COMPUTED_VALUE"""),2024)</f>
        <v>2024</v>
      </c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</row>
    <row r="923" spans="1:32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>
        <f ca="1">IFERROR(__xludf.DUMMYFUNCTION("""COMPUTED_VALUE"""),2023)</f>
        <v>2023</v>
      </c>
      <c r="Q923" s="2" t="str">
        <f ca="1">IFERROR(__xludf.DUMMYFUNCTION("""COMPUTED_VALUE"""),"1144")</f>
        <v>1144</v>
      </c>
      <c r="R923" s="2" t="str">
        <f ca="1">IFERROR(__xludf.DUMMYFUNCTION("""COMPUTED_VALUE"""),"05.004.0012.0361.0074.6017.31.90.11")</f>
        <v>05.004.0012.0361.0074.6017.31.90.11</v>
      </c>
      <c r="S923" s="2" t="str">
        <f ca="1">IFERROR(__xludf.DUMMYFUNCTION("""COMPUTED_VALUE"""),"00102")</f>
        <v>00102</v>
      </c>
      <c r="T923" s="2">
        <f ca="1">IFERROR(__xludf.DUMMYFUNCTION("""COMPUTED_VALUE"""),2024)</f>
        <v>2024</v>
      </c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</row>
    <row r="924" spans="1:32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>
        <f ca="1">IFERROR(__xludf.DUMMYFUNCTION("""COMPUTED_VALUE"""),2023)</f>
        <v>2023</v>
      </c>
      <c r="Q924" s="2" t="str">
        <f ca="1">IFERROR(__xludf.DUMMYFUNCTION("""COMPUTED_VALUE"""),"1145")</f>
        <v>1145</v>
      </c>
      <c r="R924" s="2" t="str">
        <f ca="1">IFERROR(__xludf.DUMMYFUNCTION("""COMPUTED_VALUE"""),"05.001.0012.0361.0074.6018.33.90.93")</f>
        <v>05.001.0012.0361.0074.6018.33.90.93</v>
      </c>
      <c r="S924" s="2" t="str">
        <f ca="1">IFERROR(__xludf.DUMMYFUNCTION("""COMPUTED_VALUE"""),"01036")</f>
        <v>01036</v>
      </c>
      <c r="T924" s="2">
        <f ca="1">IFERROR(__xludf.DUMMYFUNCTION("""COMPUTED_VALUE"""),2024)</f>
        <v>2024</v>
      </c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</row>
    <row r="925" spans="1:32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>
        <f ca="1">IFERROR(__xludf.DUMMYFUNCTION("""COMPUTED_VALUE"""),2023)</f>
        <v>2023</v>
      </c>
      <c r="Q925" s="2" t="str">
        <f ca="1">IFERROR(__xludf.DUMMYFUNCTION("""COMPUTED_VALUE"""),"1146")</f>
        <v>1146</v>
      </c>
      <c r="R925" s="2" t="str">
        <f ca="1">IFERROR(__xludf.DUMMYFUNCTION("""COMPUTED_VALUE"""),"03.007.0003.0092.0030.2153.31.90.16")</f>
        <v>03.007.0003.0092.0030.2153.31.90.16</v>
      </c>
      <c r="S925" s="2" t="str">
        <f ca="1">IFERROR(__xludf.DUMMYFUNCTION("""COMPUTED_VALUE"""),"00030")</f>
        <v>00030</v>
      </c>
      <c r="T925" s="2">
        <f ca="1">IFERROR(__xludf.DUMMYFUNCTION("""COMPUTED_VALUE"""),2024)</f>
        <v>2024</v>
      </c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</row>
    <row r="926" spans="1:32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>
        <f ca="1">IFERROR(__xludf.DUMMYFUNCTION("""COMPUTED_VALUE"""),2023)</f>
        <v>2023</v>
      </c>
      <c r="Q926" s="2" t="str">
        <f ca="1">IFERROR(__xludf.DUMMYFUNCTION("""COMPUTED_VALUE"""),"1147")</f>
        <v>1147</v>
      </c>
      <c r="R926" s="2" t="str">
        <f ca="1">IFERROR(__xludf.DUMMYFUNCTION("""COMPUTED_VALUE"""),"05.001.0012.0361.0074.6018.33.90.93")</f>
        <v>05.001.0012.0361.0074.6018.33.90.93</v>
      </c>
      <c r="S926" s="2" t="str">
        <f ca="1">IFERROR(__xludf.DUMMYFUNCTION("""COMPUTED_VALUE"""),"00133")</f>
        <v>00133</v>
      </c>
      <c r="T926" s="2">
        <f ca="1">IFERROR(__xludf.DUMMYFUNCTION("""COMPUTED_VALUE"""),2024)</f>
        <v>2024</v>
      </c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</row>
    <row r="927" spans="1:32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>
        <f ca="1">IFERROR(__xludf.DUMMYFUNCTION("""COMPUTED_VALUE"""),2023)</f>
        <v>2023</v>
      </c>
      <c r="Q927" s="2" t="str">
        <f ca="1">IFERROR(__xludf.DUMMYFUNCTION("""COMPUTED_VALUE"""),"1148")</f>
        <v>1148</v>
      </c>
      <c r="R927" s="2" t="str">
        <f ca="1">IFERROR(__xludf.DUMMYFUNCTION("""COMPUTED_VALUE"""),"05.001.0012.0361.0074.6018.33.90.93")</f>
        <v>05.001.0012.0361.0074.6018.33.90.93</v>
      </c>
      <c r="S927" s="2" t="str">
        <f ca="1">IFERROR(__xludf.DUMMYFUNCTION("""COMPUTED_VALUE"""),"00129")</f>
        <v>00129</v>
      </c>
      <c r="T927" s="2">
        <f ca="1">IFERROR(__xludf.DUMMYFUNCTION("""COMPUTED_VALUE"""),2024)</f>
        <v>2024</v>
      </c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</row>
    <row r="928" spans="1:32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>
        <f ca="1">IFERROR(__xludf.DUMMYFUNCTION("""COMPUTED_VALUE"""),2023)</f>
        <v>2023</v>
      </c>
      <c r="Q928" s="2" t="str">
        <f ca="1">IFERROR(__xludf.DUMMYFUNCTION("""COMPUTED_VALUE"""),"1149")</f>
        <v>1149</v>
      </c>
      <c r="R928" s="2" t="str">
        <f ca="1">IFERROR(__xludf.DUMMYFUNCTION("""COMPUTED_VALUE"""),"14.001.0028.0843.0000.0005.46.90.71")</f>
        <v>14.001.0028.0843.0000.0005.46.90.71</v>
      </c>
      <c r="S928" s="2" t="str">
        <f ca="1">IFERROR(__xludf.DUMMYFUNCTION("""COMPUTED_VALUE"""),"00605")</f>
        <v>00605</v>
      </c>
      <c r="T928" s="2">
        <f ca="1">IFERROR(__xludf.DUMMYFUNCTION("""COMPUTED_VALUE"""),2024)</f>
        <v>2024</v>
      </c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</row>
    <row r="929" spans="1:32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>
        <f ca="1">IFERROR(__xludf.DUMMYFUNCTION("""COMPUTED_VALUE"""),2023)</f>
        <v>2023</v>
      </c>
      <c r="Q929" s="2" t="str">
        <f ca="1">IFERROR(__xludf.DUMMYFUNCTION("""COMPUTED_VALUE"""),"1150")</f>
        <v>1150</v>
      </c>
      <c r="R929" s="2" t="str">
        <f ca="1">IFERROR(__xludf.DUMMYFUNCTION("""COMPUTED_VALUE"""),"18.004.0006.0182.0140.2144.33.90.37")</f>
        <v>18.004.0006.0182.0140.2144.33.90.37</v>
      </c>
      <c r="S929" s="2" t="str">
        <f ca="1">IFERROR(__xludf.DUMMYFUNCTION("""COMPUTED_VALUE"""),"00515")</f>
        <v>00515</v>
      </c>
      <c r="T929" s="2">
        <f ca="1">IFERROR(__xludf.DUMMYFUNCTION("""COMPUTED_VALUE"""),2024)</f>
        <v>2024</v>
      </c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</row>
    <row r="930" spans="1:32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>
        <f ca="1">IFERROR(__xludf.DUMMYFUNCTION("""COMPUTED_VALUE"""),2023)</f>
        <v>2023</v>
      </c>
      <c r="Q930" s="2" t="str">
        <f ca="1">IFERROR(__xludf.DUMMYFUNCTION("""COMPUTED_VALUE"""),"1151")</f>
        <v>1151</v>
      </c>
      <c r="R930" s="2" t="str">
        <f ca="1">IFERROR(__xludf.DUMMYFUNCTION("""COMPUTED_VALUE"""),"14.001.0028.0061.0000.0001.32.90.22")</f>
        <v>14.001.0028.0061.0000.0001.32.90.22</v>
      </c>
      <c r="S930" s="2" t="str">
        <f ca="1">IFERROR(__xludf.DUMMYFUNCTION("""COMPUTED_VALUE"""),"0000")</f>
        <v>0000</v>
      </c>
      <c r="T930" s="2">
        <f ca="1">IFERROR(__xludf.DUMMYFUNCTION("""COMPUTED_VALUE"""),2024)</f>
        <v>2024</v>
      </c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</row>
    <row r="931" spans="1:32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>
        <f ca="1">IFERROR(__xludf.DUMMYFUNCTION("""COMPUTED_VALUE"""),2023)</f>
        <v>2023</v>
      </c>
      <c r="Q931" s="2" t="str">
        <f ca="1">IFERROR(__xludf.DUMMYFUNCTION("""COMPUTED_VALUE"""),"1152")</f>
        <v>1152</v>
      </c>
      <c r="R931" s="2" t="str">
        <f ca="1">IFERROR(__xludf.DUMMYFUNCTION("""COMPUTED_VALUE"""),"08.005.0008.0243.0118.6001.33.90.30")</f>
        <v>08.005.0008.0243.0118.6001.33.90.30</v>
      </c>
      <c r="S931" s="2" t="str">
        <f ca="1">IFERROR(__xludf.DUMMYFUNCTION("""COMPUTED_VALUE"""),"00880")</f>
        <v>00880</v>
      </c>
      <c r="T931" s="2">
        <f ca="1">IFERROR(__xludf.DUMMYFUNCTION("""COMPUTED_VALUE"""),2024)</f>
        <v>2024</v>
      </c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</row>
    <row r="932" spans="1: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>
        <f ca="1">IFERROR(__xludf.DUMMYFUNCTION("""COMPUTED_VALUE"""),2023)</f>
        <v>2023</v>
      </c>
      <c r="Q932" s="2" t="str">
        <f ca="1">IFERROR(__xludf.DUMMYFUNCTION("""COMPUTED_VALUE"""),"1153")</f>
        <v>1153</v>
      </c>
      <c r="R932" s="2" t="str">
        <f ca="1">IFERROR(__xludf.DUMMYFUNCTION("""COMPUTED_VALUE"""),"08.003.0008.0244.0118.2030.33.90.30")</f>
        <v>08.003.0008.0244.0118.2030.33.90.30</v>
      </c>
      <c r="S932" s="2" t="str">
        <f ca="1">IFERROR(__xludf.DUMMYFUNCTION("""COMPUTED_VALUE"""),"10184")</f>
        <v>10184</v>
      </c>
      <c r="T932" s="2">
        <f ca="1">IFERROR(__xludf.DUMMYFUNCTION("""COMPUTED_VALUE"""),2024)</f>
        <v>2024</v>
      </c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</row>
    <row r="933" spans="1:32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>
        <f ca="1">IFERROR(__xludf.DUMMYFUNCTION("""COMPUTED_VALUE"""),2023)</f>
        <v>2023</v>
      </c>
      <c r="Q933" s="2" t="str">
        <f ca="1">IFERROR(__xludf.DUMMYFUNCTION("""COMPUTED_VALUE"""),"1154")</f>
        <v>1154</v>
      </c>
      <c r="R933" s="2" t="str">
        <f ca="1">IFERROR(__xludf.DUMMYFUNCTION("""COMPUTED_VALUE"""),"08.003.0008.0244.0118.2030.33.90.39")</f>
        <v>08.003.0008.0244.0118.2030.33.90.39</v>
      </c>
      <c r="S933" s="2" t="str">
        <f ca="1">IFERROR(__xludf.DUMMYFUNCTION("""COMPUTED_VALUE"""),"10184")</f>
        <v>10184</v>
      </c>
      <c r="T933" s="2">
        <f ca="1">IFERROR(__xludf.DUMMYFUNCTION("""COMPUTED_VALUE"""),2024)</f>
        <v>2024</v>
      </c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</row>
    <row r="934" spans="1:32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>
        <f ca="1">IFERROR(__xludf.DUMMYFUNCTION("""COMPUTED_VALUE"""),2023)</f>
        <v>2023</v>
      </c>
      <c r="Q934" s="2" t="str">
        <f ca="1">IFERROR(__xludf.DUMMYFUNCTION("""COMPUTED_VALUE"""),"1155")</f>
        <v>1155</v>
      </c>
      <c r="R934" s="2" t="str">
        <f ca="1">IFERROR(__xludf.DUMMYFUNCTION("""COMPUTED_VALUE"""),"08.003.0008.0244.0118.2030.33.90.39")</f>
        <v>08.003.0008.0244.0118.2030.33.90.39</v>
      </c>
      <c r="S934" s="2" t="str">
        <f ca="1">IFERROR(__xludf.DUMMYFUNCTION("""COMPUTED_VALUE"""),"10186")</f>
        <v>10186</v>
      </c>
      <c r="T934" s="2">
        <f ca="1">IFERROR(__xludf.DUMMYFUNCTION("""COMPUTED_VALUE"""),2024)</f>
        <v>2024</v>
      </c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</row>
    <row r="935" spans="1:32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>
        <f ca="1">IFERROR(__xludf.DUMMYFUNCTION("""COMPUTED_VALUE"""),2023)</f>
        <v>2023</v>
      </c>
      <c r="Q935" s="2" t="str">
        <f ca="1">IFERROR(__xludf.DUMMYFUNCTION("""COMPUTED_VALUE"""),"1156")</f>
        <v>1156</v>
      </c>
      <c r="R935" s="2" t="str">
        <f ca="1">IFERROR(__xludf.DUMMYFUNCTION("""COMPUTED_VALUE"""),"14.001.0028.0846.0000.0007.44.90.61")</f>
        <v>14.001.0028.0846.0000.0007.44.90.61</v>
      </c>
      <c r="S935" s="2" t="str">
        <f ca="1">IFERROR(__xludf.DUMMYFUNCTION("""COMPUTED_VALUE"""),"00611")</f>
        <v>00611</v>
      </c>
      <c r="T935" s="2">
        <f ca="1">IFERROR(__xludf.DUMMYFUNCTION("""COMPUTED_VALUE"""),2024)</f>
        <v>2024</v>
      </c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</row>
    <row r="936" spans="1:32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>
        <f ca="1">IFERROR(__xludf.DUMMYFUNCTION("""COMPUTED_VALUE"""),2023)</f>
        <v>2023</v>
      </c>
      <c r="Q936" s="2" t="str">
        <f ca="1">IFERROR(__xludf.DUMMYFUNCTION("""COMPUTED_VALUE"""),"1158")</f>
        <v>1158</v>
      </c>
      <c r="R936" s="2" t="str">
        <f ca="1">IFERROR(__xludf.DUMMYFUNCTION("""COMPUTED_VALUE"""),"07.005.0015.0452.0104.2132.44.90.30")</f>
        <v>07.005.0015.0452.0104.2132.44.90.30</v>
      </c>
      <c r="S936" s="2" t="str">
        <f ca="1">IFERROR(__xludf.DUMMYFUNCTION("""COMPUTED_VALUE"""),"0000")</f>
        <v>0000</v>
      </c>
      <c r="T936" s="2">
        <f ca="1">IFERROR(__xludf.DUMMYFUNCTION("""COMPUTED_VALUE"""),2024)</f>
        <v>2024</v>
      </c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</row>
    <row r="937" spans="1:32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>
        <f ca="1">IFERROR(__xludf.DUMMYFUNCTION("""COMPUTED_VALUE"""),2023)</f>
        <v>2023</v>
      </c>
      <c r="Q937" s="2" t="str">
        <f ca="1">IFERROR(__xludf.DUMMYFUNCTION("""COMPUTED_VALUE"""),"1159")</f>
        <v>1159</v>
      </c>
      <c r="R937" s="2" t="str">
        <f ca="1">IFERROR(__xludf.DUMMYFUNCTION("""COMPUTED_VALUE"""),"07.005.0015.0452.0104.2132.44.90.39")</f>
        <v>07.005.0015.0452.0104.2132.44.90.39</v>
      </c>
      <c r="S937" s="2" t="str">
        <f ca="1">IFERROR(__xludf.DUMMYFUNCTION("""COMPUTED_VALUE"""),"0000")</f>
        <v>0000</v>
      </c>
      <c r="T937" s="2">
        <f ca="1">IFERROR(__xludf.DUMMYFUNCTION("""COMPUTED_VALUE"""),2024)</f>
        <v>2024</v>
      </c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</row>
    <row r="938" spans="1:32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>
        <f ca="1">IFERROR(__xludf.DUMMYFUNCTION("""COMPUTED_VALUE"""),2023)</f>
        <v>2023</v>
      </c>
      <c r="Q938" s="2" t="str">
        <f ca="1">IFERROR(__xludf.DUMMYFUNCTION("""COMPUTED_VALUE"""),"1160")</f>
        <v>1160</v>
      </c>
      <c r="R938" s="2" t="str">
        <f ca="1">IFERROR(__xludf.DUMMYFUNCTION("""COMPUTED_VALUE"""),"06.001.0010.0301.0094.2039.33.90.30")</f>
        <v>06.001.0010.0301.0094.2039.33.90.30</v>
      </c>
      <c r="S938" s="2" t="str">
        <f ca="1">IFERROR(__xludf.DUMMYFUNCTION("""COMPUTED_VALUE"""),"01016")</f>
        <v>01016</v>
      </c>
      <c r="T938" s="2">
        <f ca="1">IFERROR(__xludf.DUMMYFUNCTION("""COMPUTED_VALUE"""),2024)</f>
        <v>2024</v>
      </c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</row>
    <row r="939" spans="1:32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>
        <f ca="1">IFERROR(__xludf.DUMMYFUNCTION("""COMPUTED_VALUE"""),2023)</f>
        <v>2023</v>
      </c>
      <c r="Q939" s="2" t="str">
        <f ca="1">IFERROR(__xludf.DUMMYFUNCTION("""COMPUTED_VALUE"""),"1161")</f>
        <v>1161</v>
      </c>
      <c r="R939" s="2" t="str">
        <f ca="1">IFERROR(__xludf.DUMMYFUNCTION("""COMPUTED_VALUE"""),"06.001.0010.0301.0094.2039.33.90.40")</f>
        <v>06.001.0010.0301.0094.2039.33.90.40</v>
      </c>
      <c r="S939" s="2" t="str">
        <f ca="1">IFERROR(__xludf.DUMMYFUNCTION("""COMPUTED_VALUE"""),"01016")</f>
        <v>01016</v>
      </c>
      <c r="T939" s="2">
        <f ca="1">IFERROR(__xludf.DUMMYFUNCTION("""COMPUTED_VALUE"""),2024)</f>
        <v>2024</v>
      </c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</row>
    <row r="940" spans="1:32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>
        <f ca="1">IFERROR(__xludf.DUMMYFUNCTION("""COMPUTED_VALUE"""),2023)</f>
        <v>2023</v>
      </c>
      <c r="Q940" s="2" t="str">
        <f ca="1">IFERROR(__xludf.DUMMYFUNCTION("""COMPUTED_VALUE"""),"1162")</f>
        <v>1162</v>
      </c>
      <c r="R940" s="2" t="str">
        <f ca="1">IFERROR(__xludf.DUMMYFUNCTION("""COMPUTED_VALUE"""),"05.003.0012.0361.0074.5003.44.90.52")</f>
        <v>05.003.0012.0361.0074.5003.44.90.52</v>
      </c>
      <c r="S940" s="2" t="str">
        <f ca="1">IFERROR(__xludf.DUMMYFUNCTION("""COMPUTED_VALUE"""),"00105")</f>
        <v>00105</v>
      </c>
      <c r="T940" s="2">
        <f ca="1">IFERROR(__xludf.DUMMYFUNCTION("""COMPUTED_VALUE"""),2024)</f>
        <v>2024</v>
      </c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</row>
    <row r="941" spans="1:32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>
        <f ca="1">IFERROR(__xludf.DUMMYFUNCTION("""COMPUTED_VALUE"""),2023)</f>
        <v>2023</v>
      </c>
      <c r="Q941" s="2" t="str">
        <f ca="1">IFERROR(__xludf.DUMMYFUNCTION("""COMPUTED_VALUE"""),"1163")</f>
        <v>1163</v>
      </c>
      <c r="R941" s="2" t="str">
        <f ca="1">IFERROR(__xludf.DUMMYFUNCTION("""COMPUTED_VALUE"""),"05.003.0012.0361.0074.5003.44.90.52")</f>
        <v>05.003.0012.0361.0074.5003.44.90.52</v>
      </c>
      <c r="S941" s="2" t="str">
        <f ca="1">IFERROR(__xludf.DUMMYFUNCTION("""COMPUTED_VALUE"""),"00501")</f>
        <v>00501</v>
      </c>
      <c r="T941" s="2">
        <f ca="1">IFERROR(__xludf.DUMMYFUNCTION("""COMPUTED_VALUE"""),2024)</f>
        <v>2024</v>
      </c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</row>
    <row r="942" spans="1:3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>
        <f ca="1">IFERROR(__xludf.DUMMYFUNCTION("""COMPUTED_VALUE"""),2023)</f>
        <v>2023</v>
      </c>
      <c r="Q942" s="2" t="str">
        <f ca="1">IFERROR(__xludf.DUMMYFUNCTION("""COMPUTED_VALUE"""),"1166")</f>
        <v>1166</v>
      </c>
      <c r="R942" s="2" t="str">
        <f ca="1">IFERROR(__xludf.DUMMYFUNCTION("""COMPUTED_VALUE"""),"06.001.0010.0305.0094.1018.44.90.52")</f>
        <v>06.001.0010.0305.0094.1018.44.90.52</v>
      </c>
      <c r="S942" s="2" t="str">
        <f ca="1">IFERROR(__xludf.DUMMYFUNCTION("""COMPUTED_VALUE"""),"05181")</f>
        <v>05181</v>
      </c>
      <c r="T942" s="2">
        <f ca="1">IFERROR(__xludf.DUMMYFUNCTION("""COMPUTED_VALUE"""),2024)</f>
        <v>2024</v>
      </c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</row>
    <row r="943" spans="1:32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>
        <f ca="1">IFERROR(__xludf.DUMMYFUNCTION("""COMPUTED_VALUE"""),2023)</f>
        <v>2023</v>
      </c>
      <c r="Q943" s="2" t="str">
        <f ca="1">IFERROR(__xludf.DUMMYFUNCTION("""COMPUTED_VALUE"""),"1167")</f>
        <v>1167</v>
      </c>
      <c r="R943" s="2" t="str">
        <f ca="1">IFERROR(__xludf.DUMMYFUNCTION("""COMPUTED_VALUE"""),"06.001.0010.0304.0094.2046.33.90.14")</f>
        <v>06.001.0010.0304.0094.2046.33.90.14</v>
      </c>
      <c r="S943" s="2" t="str">
        <f ca="1">IFERROR(__xludf.DUMMYFUNCTION("""COMPUTED_VALUE"""),"04941")</f>
        <v>04941</v>
      </c>
      <c r="T943" s="2">
        <f ca="1">IFERROR(__xludf.DUMMYFUNCTION("""COMPUTED_VALUE"""),2024)</f>
        <v>2024</v>
      </c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</row>
    <row r="944" spans="1:32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>
        <f ca="1">IFERROR(__xludf.DUMMYFUNCTION("""COMPUTED_VALUE"""),2023)</f>
        <v>2023</v>
      </c>
      <c r="Q944" s="2" t="str">
        <f ca="1">IFERROR(__xludf.DUMMYFUNCTION("""COMPUTED_VALUE"""),"1168")</f>
        <v>1168</v>
      </c>
      <c r="R944" s="2" t="str">
        <f ca="1">IFERROR(__xludf.DUMMYFUNCTION("""COMPUTED_VALUE"""),"06.001.0010.0304.0094.2046.33.90.30")</f>
        <v>06.001.0010.0304.0094.2046.33.90.30</v>
      </c>
      <c r="S944" s="2" t="str">
        <f ca="1">IFERROR(__xludf.DUMMYFUNCTION("""COMPUTED_VALUE"""),"04941")</f>
        <v>04941</v>
      </c>
      <c r="T944" s="2">
        <f ca="1">IFERROR(__xludf.DUMMYFUNCTION("""COMPUTED_VALUE"""),2024)</f>
        <v>2024</v>
      </c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</row>
    <row r="945" spans="1:32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>
        <f ca="1">IFERROR(__xludf.DUMMYFUNCTION("""COMPUTED_VALUE"""),2023)</f>
        <v>2023</v>
      </c>
      <c r="Q945" s="2" t="str">
        <f ca="1">IFERROR(__xludf.DUMMYFUNCTION("""COMPUTED_VALUE"""),"1169")</f>
        <v>1169</v>
      </c>
      <c r="R945" s="2" t="str">
        <f ca="1">IFERROR(__xludf.DUMMYFUNCTION("""COMPUTED_VALUE"""),"06.001.0010.0304.0094.2046.33.90.33")</f>
        <v>06.001.0010.0304.0094.2046.33.90.33</v>
      </c>
      <c r="S945" s="2" t="str">
        <f ca="1">IFERROR(__xludf.DUMMYFUNCTION("""COMPUTED_VALUE"""),"04941")</f>
        <v>04941</v>
      </c>
      <c r="T945" s="2">
        <f ca="1">IFERROR(__xludf.DUMMYFUNCTION("""COMPUTED_VALUE"""),2024)</f>
        <v>2024</v>
      </c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</row>
    <row r="946" spans="1:32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>
        <f ca="1">IFERROR(__xludf.DUMMYFUNCTION("""COMPUTED_VALUE"""),2023)</f>
        <v>2023</v>
      </c>
      <c r="Q946" s="2" t="str">
        <f ca="1">IFERROR(__xludf.DUMMYFUNCTION("""COMPUTED_VALUE"""),"1170")</f>
        <v>1170</v>
      </c>
      <c r="R946" s="2" t="str">
        <f ca="1">IFERROR(__xludf.DUMMYFUNCTION("""COMPUTED_VALUE"""),"06.001.0010.0304.0094.2046.33.90.39")</f>
        <v>06.001.0010.0304.0094.2046.33.90.39</v>
      </c>
      <c r="S946" s="2" t="str">
        <f ca="1">IFERROR(__xludf.DUMMYFUNCTION("""COMPUTED_VALUE"""),"04941")</f>
        <v>04941</v>
      </c>
      <c r="T946" s="2">
        <f ca="1">IFERROR(__xludf.DUMMYFUNCTION("""COMPUTED_VALUE"""),2024)</f>
        <v>2024</v>
      </c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</row>
    <row r="947" spans="1:32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>
        <f ca="1">IFERROR(__xludf.DUMMYFUNCTION("""COMPUTED_VALUE"""),2023)</f>
        <v>2023</v>
      </c>
      <c r="Q947" s="2" t="str">
        <f ca="1">IFERROR(__xludf.DUMMYFUNCTION("""COMPUTED_VALUE"""),"1171")</f>
        <v>1171</v>
      </c>
      <c r="R947" s="2" t="str">
        <f ca="1">IFERROR(__xludf.DUMMYFUNCTION("""COMPUTED_VALUE"""),"06.001.0010.0304.0094.2046.33.90.40")</f>
        <v>06.001.0010.0304.0094.2046.33.90.40</v>
      </c>
      <c r="S947" s="2" t="str">
        <f ca="1">IFERROR(__xludf.DUMMYFUNCTION("""COMPUTED_VALUE"""),"04941")</f>
        <v>04941</v>
      </c>
      <c r="T947" s="2">
        <f ca="1">IFERROR(__xludf.DUMMYFUNCTION("""COMPUTED_VALUE"""),2024)</f>
        <v>2024</v>
      </c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</row>
    <row r="948" spans="1:32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>
        <f ca="1">IFERROR(__xludf.DUMMYFUNCTION("""COMPUTED_VALUE"""),2023)</f>
        <v>2023</v>
      </c>
      <c r="Q948" s="2" t="str">
        <f ca="1">IFERROR(__xludf.DUMMYFUNCTION("""COMPUTED_VALUE"""),"1172")</f>
        <v>1172</v>
      </c>
      <c r="R948" s="2" t="str">
        <f ca="1">IFERROR(__xludf.DUMMYFUNCTION("""COMPUTED_VALUE"""),"06.001.0010.0305.0094.2040.33.90.14")</f>
        <v>06.001.0010.0305.0094.2040.33.90.14</v>
      </c>
      <c r="S948" s="2" t="str">
        <f ca="1">IFERROR(__xludf.DUMMYFUNCTION("""COMPUTED_VALUE"""),"04941")</f>
        <v>04941</v>
      </c>
      <c r="T948" s="2">
        <f ca="1">IFERROR(__xludf.DUMMYFUNCTION("""COMPUTED_VALUE"""),2024)</f>
        <v>2024</v>
      </c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</row>
    <row r="949" spans="1:32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>
        <f ca="1">IFERROR(__xludf.DUMMYFUNCTION("""COMPUTED_VALUE"""),2023)</f>
        <v>2023</v>
      </c>
      <c r="Q949" s="2" t="str">
        <f ca="1">IFERROR(__xludf.DUMMYFUNCTION("""COMPUTED_VALUE"""),"1173")</f>
        <v>1173</v>
      </c>
      <c r="R949" s="2" t="str">
        <f ca="1">IFERROR(__xludf.DUMMYFUNCTION("""COMPUTED_VALUE"""),"06.001.0010.0305.0094.2040.33.90.30")</f>
        <v>06.001.0010.0305.0094.2040.33.90.30</v>
      </c>
      <c r="S949" s="2" t="str">
        <f ca="1">IFERROR(__xludf.DUMMYFUNCTION("""COMPUTED_VALUE"""),"04941")</f>
        <v>04941</v>
      </c>
      <c r="T949" s="2">
        <f ca="1">IFERROR(__xludf.DUMMYFUNCTION("""COMPUTED_VALUE"""),2024)</f>
        <v>2024</v>
      </c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</row>
    <row r="950" spans="1:32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>
        <f ca="1">IFERROR(__xludf.DUMMYFUNCTION("""COMPUTED_VALUE"""),2023)</f>
        <v>2023</v>
      </c>
      <c r="Q950" s="2" t="str">
        <f ca="1">IFERROR(__xludf.DUMMYFUNCTION("""COMPUTED_VALUE"""),"1174")</f>
        <v>1174</v>
      </c>
      <c r="R950" s="2" t="str">
        <f ca="1">IFERROR(__xludf.DUMMYFUNCTION("""COMPUTED_VALUE"""),"06.001.0010.0305.0094.2040.33.90.33")</f>
        <v>06.001.0010.0305.0094.2040.33.90.33</v>
      </c>
      <c r="S950" s="2" t="str">
        <f ca="1">IFERROR(__xludf.DUMMYFUNCTION("""COMPUTED_VALUE"""),"04941")</f>
        <v>04941</v>
      </c>
      <c r="T950" s="2">
        <f ca="1">IFERROR(__xludf.DUMMYFUNCTION("""COMPUTED_VALUE"""),2024)</f>
        <v>2024</v>
      </c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</row>
    <row r="951" spans="1:32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>
        <f ca="1">IFERROR(__xludf.DUMMYFUNCTION("""COMPUTED_VALUE"""),2023)</f>
        <v>2023</v>
      </c>
      <c r="Q951" s="2" t="str">
        <f ca="1">IFERROR(__xludf.DUMMYFUNCTION("""COMPUTED_VALUE"""),"1175")</f>
        <v>1175</v>
      </c>
      <c r="R951" s="2" t="str">
        <f ca="1">IFERROR(__xludf.DUMMYFUNCTION("""COMPUTED_VALUE"""),"06.001.0010.0305.0094.2040.33.90.39")</f>
        <v>06.001.0010.0305.0094.2040.33.90.39</v>
      </c>
      <c r="S951" s="2" t="str">
        <f ca="1">IFERROR(__xludf.DUMMYFUNCTION("""COMPUTED_VALUE"""),"04941")</f>
        <v>04941</v>
      </c>
      <c r="T951" s="2">
        <f ca="1">IFERROR(__xludf.DUMMYFUNCTION("""COMPUTED_VALUE"""),2024)</f>
        <v>2024</v>
      </c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</row>
    <row r="952" spans="1:3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>
        <f ca="1">IFERROR(__xludf.DUMMYFUNCTION("""COMPUTED_VALUE"""),2023)</f>
        <v>2023</v>
      </c>
      <c r="Q952" s="2" t="str">
        <f ca="1">IFERROR(__xludf.DUMMYFUNCTION("""COMPUTED_VALUE"""),"1176")</f>
        <v>1176</v>
      </c>
      <c r="R952" s="2" t="str">
        <f ca="1">IFERROR(__xludf.DUMMYFUNCTION("""COMPUTED_VALUE"""),"06.001.0010.0305.0094.2040.33.90.40")</f>
        <v>06.001.0010.0305.0094.2040.33.90.40</v>
      </c>
      <c r="S952" s="2" t="str">
        <f ca="1">IFERROR(__xludf.DUMMYFUNCTION("""COMPUTED_VALUE"""),"04941")</f>
        <v>04941</v>
      </c>
      <c r="T952" s="2">
        <f ca="1">IFERROR(__xludf.DUMMYFUNCTION("""COMPUTED_VALUE"""),2024)</f>
        <v>2024</v>
      </c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</row>
    <row r="953" spans="1:32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>
        <f ca="1">IFERROR(__xludf.DUMMYFUNCTION("""COMPUTED_VALUE"""),2023)</f>
        <v>2023</v>
      </c>
      <c r="Q953" s="2" t="str">
        <f ca="1">IFERROR(__xludf.DUMMYFUNCTION("""COMPUTED_VALUE"""),"1177")</f>
        <v>1177</v>
      </c>
      <c r="R953" s="2" t="str">
        <f ca="1">IFERROR(__xludf.DUMMYFUNCTION("""COMPUTED_VALUE"""),"08.007.0008.0241.0118.2031.33.90.32")</f>
        <v>08.007.0008.0241.0118.2031.33.90.32</v>
      </c>
      <c r="S953" s="2" t="str">
        <f ca="1">IFERROR(__xludf.DUMMYFUNCTION("""COMPUTED_VALUE"""),"00902")</f>
        <v>00902</v>
      </c>
      <c r="T953" s="2">
        <f ca="1">IFERROR(__xludf.DUMMYFUNCTION("""COMPUTED_VALUE"""),2024)</f>
        <v>2024</v>
      </c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</row>
    <row r="954" spans="1:32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>
        <f ca="1">IFERROR(__xludf.DUMMYFUNCTION("""COMPUTED_VALUE"""),2023)</f>
        <v>2023</v>
      </c>
      <c r="Q954" s="2" t="str">
        <f ca="1">IFERROR(__xludf.DUMMYFUNCTION("""COMPUTED_VALUE"""),"1178")</f>
        <v>1178</v>
      </c>
      <c r="R954" s="2" t="str">
        <f ca="1">IFERROR(__xludf.DUMMYFUNCTION("""COMPUTED_VALUE"""),"08.005.0008.0243.0118.6001.33.90.30")</f>
        <v>08.005.0008.0243.0118.6001.33.90.30</v>
      </c>
      <c r="S954" s="2" t="str">
        <f ca="1">IFERROR(__xludf.DUMMYFUNCTION("""COMPUTED_VALUE"""),"00879")</f>
        <v>00879</v>
      </c>
      <c r="T954" s="2">
        <f ca="1">IFERROR(__xludf.DUMMYFUNCTION("""COMPUTED_VALUE"""),2024)</f>
        <v>2024</v>
      </c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</row>
    <row r="955" spans="1:32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>
        <f ca="1">IFERROR(__xludf.DUMMYFUNCTION("""COMPUTED_VALUE"""),2023)</f>
        <v>2023</v>
      </c>
      <c r="Q955" s="2" t="str">
        <f ca="1">IFERROR(__xludf.DUMMYFUNCTION("""COMPUTED_VALUE"""),"1179")</f>
        <v>1179</v>
      </c>
      <c r="R955" s="2" t="str">
        <f ca="1">IFERROR(__xludf.DUMMYFUNCTION("""COMPUTED_VALUE"""),"19.001.0004.0122.0131.2154.33.90.39")</f>
        <v>19.001.0004.0122.0131.2154.33.90.39</v>
      </c>
      <c r="S955" s="2" t="str">
        <f ca="1">IFERROR(__xludf.DUMMYFUNCTION("""COMPUTED_VALUE"""),"0000")</f>
        <v>0000</v>
      </c>
      <c r="T955" s="2">
        <f ca="1">IFERROR(__xludf.DUMMYFUNCTION("""COMPUTED_VALUE"""),2024)</f>
        <v>2024</v>
      </c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</row>
    <row r="956" spans="1:32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>
        <f ca="1">IFERROR(__xludf.DUMMYFUNCTION("""COMPUTED_VALUE"""),2023)</f>
        <v>2023</v>
      </c>
      <c r="Q956" s="2" t="str">
        <f ca="1">IFERROR(__xludf.DUMMYFUNCTION("""COMPUTED_VALUE"""),"1180")</f>
        <v>1180</v>
      </c>
      <c r="R956" s="2" t="str">
        <f ca="1">IFERROR(__xludf.DUMMYFUNCTION("""COMPUTED_VALUE"""),"19.001.0004.0122.0131.2154.33.90.39")</f>
        <v>19.001.0004.0122.0131.2154.33.90.39</v>
      </c>
      <c r="S956" s="2" t="str">
        <f ca="1">IFERROR(__xludf.DUMMYFUNCTION("""COMPUTED_VALUE"""),"05105")</f>
        <v>05105</v>
      </c>
      <c r="T956" s="2">
        <f ca="1">IFERROR(__xludf.DUMMYFUNCTION("""COMPUTED_VALUE"""),2024)</f>
        <v>2024</v>
      </c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</row>
    <row r="957" spans="1:32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>
        <f ca="1">IFERROR(__xludf.DUMMYFUNCTION("""COMPUTED_VALUE"""),2023)</f>
        <v>2023</v>
      </c>
      <c r="Q957" s="2" t="str">
        <f ca="1">IFERROR(__xludf.DUMMYFUNCTION("""COMPUTED_VALUE"""),"1181")</f>
        <v>1181</v>
      </c>
      <c r="R957" s="2" t="str">
        <f ca="1">IFERROR(__xludf.DUMMYFUNCTION("""COMPUTED_VALUE"""),"19.001.0004.0129.0131.2155.33.90.30")</f>
        <v>19.001.0004.0129.0131.2155.33.90.30</v>
      </c>
      <c r="S957" s="2" t="str">
        <f ca="1">IFERROR(__xludf.DUMMYFUNCTION("""COMPUTED_VALUE"""),"0000")</f>
        <v>0000</v>
      </c>
      <c r="T957" s="2">
        <f ca="1">IFERROR(__xludf.DUMMYFUNCTION("""COMPUTED_VALUE"""),2024)</f>
        <v>2024</v>
      </c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</row>
    <row r="958" spans="1:32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>
        <f ca="1">IFERROR(__xludf.DUMMYFUNCTION("""COMPUTED_VALUE"""),2023)</f>
        <v>2023</v>
      </c>
      <c r="Q958" s="2" t="str">
        <f ca="1">IFERROR(__xludf.DUMMYFUNCTION("""COMPUTED_VALUE"""),"1182")</f>
        <v>1182</v>
      </c>
      <c r="R958" s="2" t="str">
        <f ca="1">IFERROR(__xludf.DUMMYFUNCTION("""COMPUTED_VALUE"""),"19.001.0004.0129.0131.2155.33.90.30")</f>
        <v>19.001.0004.0129.0131.2155.33.90.30</v>
      </c>
      <c r="S958" s="2" t="str">
        <f ca="1">IFERROR(__xludf.DUMMYFUNCTION("""COMPUTED_VALUE"""),"05105")</f>
        <v>05105</v>
      </c>
      <c r="T958" s="2">
        <f ca="1">IFERROR(__xludf.DUMMYFUNCTION("""COMPUTED_VALUE"""),2024)</f>
        <v>2024</v>
      </c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</row>
    <row r="959" spans="1:32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>
        <f ca="1">IFERROR(__xludf.DUMMYFUNCTION("""COMPUTED_VALUE"""),2023)</f>
        <v>2023</v>
      </c>
      <c r="Q959" s="2" t="str">
        <f ca="1">IFERROR(__xludf.DUMMYFUNCTION("""COMPUTED_VALUE"""),"1183")</f>
        <v>1183</v>
      </c>
      <c r="R959" s="2" t="str">
        <f ca="1">IFERROR(__xludf.DUMMYFUNCTION("""COMPUTED_VALUE"""),"19.001.0004.0129.0131.2155.33.90.39")</f>
        <v>19.001.0004.0129.0131.2155.33.90.39</v>
      </c>
      <c r="S959" s="2" t="str">
        <f ca="1">IFERROR(__xludf.DUMMYFUNCTION("""COMPUTED_VALUE"""),"0000")</f>
        <v>0000</v>
      </c>
      <c r="T959" s="2">
        <f ca="1">IFERROR(__xludf.DUMMYFUNCTION("""COMPUTED_VALUE"""),2024)</f>
        <v>2024</v>
      </c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</row>
    <row r="960" spans="1:32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>
        <f ca="1">IFERROR(__xludf.DUMMYFUNCTION("""COMPUTED_VALUE"""),2023)</f>
        <v>2023</v>
      </c>
      <c r="Q960" s="2" t="str">
        <f ca="1">IFERROR(__xludf.DUMMYFUNCTION("""COMPUTED_VALUE"""),"1184")</f>
        <v>1184</v>
      </c>
      <c r="R960" s="2" t="str">
        <f ca="1">IFERROR(__xludf.DUMMYFUNCTION("""COMPUTED_VALUE"""),"19.001.0004.0122.0131.2156.31.90.11")</f>
        <v>19.001.0004.0122.0131.2156.31.90.11</v>
      </c>
      <c r="S960" s="2" t="str">
        <f ca="1">IFERROR(__xludf.DUMMYFUNCTION("""COMPUTED_VALUE"""),"05105")</f>
        <v>05105</v>
      </c>
      <c r="T960" s="2">
        <f ca="1">IFERROR(__xludf.DUMMYFUNCTION("""COMPUTED_VALUE"""),2024)</f>
        <v>2024</v>
      </c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</row>
    <row r="961" spans="1:32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>
        <f ca="1">IFERROR(__xludf.DUMMYFUNCTION("""COMPUTED_VALUE"""),2023)</f>
        <v>2023</v>
      </c>
      <c r="Q961" s="2" t="str">
        <f ca="1">IFERROR(__xludf.DUMMYFUNCTION("""COMPUTED_VALUE"""),"1185")</f>
        <v>1185</v>
      </c>
      <c r="R961" s="2" t="str">
        <f ca="1">IFERROR(__xludf.DUMMYFUNCTION("""COMPUTED_VALUE"""),"19.001.0004.0122.0131.2156.31.90.13")</f>
        <v>19.001.0004.0122.0131.2156.31.90.13</v>
      </c>
      <c r="S961" s="2" t="str">
        <f ca="1">IFERROR(__xludf.DUMMYFUNCTION("""COMPUTED_VALUE"""),"0000")</f>
        <v>0000</v>
      </c>
      <c r="T961" s="2">
        <f ca="1">IFERROR(__xludf.DUMMYFUNCTION("""COMPUTED_VALUE"""),2024)</f>
        <v>2024</v>
      </c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</row>
    <row r="962" spans="1:3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>
        <f ca="1">IFERROR(__xludf.DUMMYFUNCTION("""COMPUTED_VALUE"""),2023)</f>
        <v>2023</v>
      </c>
      <c r="Q962" s="2" t="str">
        <f ca="1">IFERROR(__xludf.DUMMYFUNCTION("""COMPUTED_VALUE"""),"1186")</f>
        <v>1186</v>
      </c>
      <c r="R962" s="2" t="str">
        <f ca="1">IFERROR(__xludf.DUMMYFUNCTION("""COMPUTED_VALUE"""),"19.001.0004.0122.0131.2156.33.90.14")</f>
        <v>19.001.0004.0122.0131.2156.33.90.14</v>
      </c>
      <c r="S962" s="2" t="str">
        <f ca="1">IFERROR(__xludf.DUMMYFUNCTION("""COMPUTED_VALUE"""),"0000")</f>
        <v>0000</v>
      </c>
      <c r="T962" s="2">
        <f ca="1">IFERROR(__xludf.DUMMYFUNCTION("""COMPUTED_VALUE"""),2024)</f>
        <v>2024</v>
      </c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</row>
    <row r="963" spans="1:32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>
        <f ca="1">IFERROR(__xludf.DUMMYFUNCTION("""COMPUTED_VALUE"""),2023)</f>
        <v>2023</v>
      </c>
      <c r="Q963" s="2" t="str">
        <f ca="1">IFERROR(__xludf.DUMMYFUNCTION("""COMPUTED_VALUE"""),"1187")</f>
        <v>1187</v>
      </c>
      <c r="R963" s="2" t="str">
        <f ca="1">IFERROR(__xludf.DUMMYFUNCTION("""COMPUTED_VALUE"""),"19.001.0004.0122.0131.2156.33.90.14")</f>
        <v>19.001.0004.0122.0131.2156.33.90.14</v>
      </c>
      <c r="S963" s="2" t="str">
        <f ca="1">IFERROR(__xludf.DUMMYFUNCTION("""COMPUTED_VALUE"""),"05105")</f>
        <v>05105</v>
      </c>
      <c r="T963" s="2">
        <f ca="1">IFERROR(__xludf.DUMMYFUNCTION("""COMPUTED_VALUE"""),2024)</f>
        <v>2024</v>
      </c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</row>
    <row r="964" spans="1:32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>
        <f ca="1">IFERROR(__xludf.DUMMYFUNCTION("""COMPUTED_VALUE"""),2023)</f>
        <v>2023</v>
      </c>
      <c r="Q964" s="2" t="str">
        <f ca="1">IFERROR(__xludf.DUMMYFUNCTION("""COMPUTED_VALUE"""),"1188")</f>
        <v>1188</v>
      </c>
      <c r="R964" s="2" t="str">
        <f ca="1">IFERROR(__xludf.DUMMYFUNCTION("""COMPUTED_VALUE"""),"19.001.0004.0122.0131.2156.33.90.30")</f>
        <v>19.001.0004.0122.0131.2156.33.90.30</v>
      </c>
      <c r="S964" s="2" t="str">
        <f ca="1">IFERROR(__xludf.DUMMYFUNCTION("""COMPUTED_VALUE"""),"0000")</f>
        <v>0000</v>
      </c>
      <c r="T964" s="2">
        <f ca="1">IFERROR(__xludf.DUMMYFUNCTION("""COMPUTED_VALUE"""),2024)</f>
        <v>2024</v>
      </c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</row>
    <row r="965" spans="1:32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>
        <f ca="1">IFERROR(__xludf.DUMMYFUNCTION("""COMPUTED_VALUE"""),2023)</f>
        <v>2023</v>
      </c>
      <c r="Q965" s="2" t="str">
        <f ca="1">IFERROR(__xludf.DUMMYFUNCTION("""COMPUTED_VALUE"""),"1189")</f>
        <v>1189</v>
      </c>
      <c r="R965" s="2" t="str">
        <f ca="1">IFERROR(__xludf.DUMMYFUNCTION("""COMPUTED_VALUE"""),"19.001.0004.0122.0131.2156.33.90.30")</f>
        <v>19.001.0004.0122.0131.2156.33.90.30</v>
      </c>
      <c r="S965" s="2" t="str">
        <f ca="1">IFERROR(__xludf.DUMMYFUNCTION("""COMPUTED_VALUE"""),"0002")</f>
        <v>0002</v>
      </c>
      <c r="T965" s="2">
        <f ca="1">IFERROR(__xludf.DUMMYFUNCTION("""COMPUTED_VALUE"""),2024)</f>
        <v>2024</v>
      </c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</row>
    <row r="966" spans="1:32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>
        <f ca="1">IFERROR(__xludf.DUMMYFUNCTION("""COMPUTED_VALUE"""),2023)</f>
        <v>2023</v>
      </c>
      <c r="Q966" s="2" t="str">
        <f ca="1">IFERROR(__xludf.DUMMYFUNCTION("""COMPUTED_VALUE"""),"1190")</f>
        <v>1190</v>
      </c>
      <c r="R966" s="2" t="str">
        <f ca="1">IFERROR(__xludf.DUMMYFUNCTION("""COMPUTED_VALUE"""),"19.001.0004.0122.0131.2156.33.90.33")</f>
        <v>19.001.0004.0122.0131.2156.33.90.33</v>
      </c>
      <c r="S966" s="2" t="str">
        <f ca="1">IFERROR(__xludf.DUMMYFUNCTION("""COMPUTED_VALUE"""),"0000")</f>
        <v>0000</v>
      </c>
      <c r="T966" s="2">
        <f ca="1">IFERROR(__xludf.DUMMYFUNCTION("""COMPUTED_VALUE"""),2024)</f>
        <v>2024</v>
      </c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</row>
    <row r="967" spans="1:32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>
        <f ca="1">IFERROR(__xludf.DUMMYFUNCTION("""COMPUTED_VALUE"""),2023)</f>
        <v>2023</v>
      </c>
      <c r="Q967" s="2" t="str">
        <f ca="1">IFERROR(__xludf.DUMMYFUNCTION("""COMPUTED_VALUE"""),"1191")</f>
        <v>1191</v>
      </c>
      <c r="R967" s="2" t="str">
        <f ca="1">IFERROR(__xludf.DUMMYFUNCTION("""COMPUTED_VALUE"""),"19.001.0004.0122.0131.2156.33.90.33")</f>
        <v>19.001.0004.0122.0131.2156.33.90.33</v>
      </c>
      <c r="S967" s="2" t="str">
        <f ca="1">IFERROR(__xludf.DUMMYFUNCTION("""COMPUTED_VALUE"""),"05105")</f>
        <v>05105</v>
      </c>
      <c r="T967" s="2">
        <f ca="1">IFERROR(__xludf.DUMMYFUNCTION("""COMPUTED_VALUE"""),2024)</f>
        <v>2024</v>
      </c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</row>
    <row r="968" spans="1:32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>
        <f ca="1">IFERROR(__xludf.DUMMYFUNCTION("""COMPUTED_VALUE"""),2023)</f>
        <v>2023</v>
      </c>
      <c r="Q968" s="2" t="str">
        <f ca="1">IFERROR(__xludf.DUMMYFUNCTION("""COMPUTED_VALUE"""),"1192")</f>
        <v>1192</v>
      </c>
      <c r="R968" s="2" t="str">
        <f ca="1">IFERROR(__xludf.DUMMYFUNCTION("""COMPUTED_VALUE"""),"19.001.0004.0122.0131.2156.33.90.36")</f>
        <v>19.001.0004.0122.0131.2156.33.90.36</v>
      </c>
      <c r="S968" s="2" t="str">
        <f ca="1">IFERROR(__xludf.DUMMYFUNCTION("""COMPUTED_VALUE"""),"0000")</f>
        <v>0000</v>
      </c>
      <c r="T968" s="2">
        <f ca="1">IFERROR(__xludf.DUMMYFUNCTION("""COMPUTED_VALUE"""),2024)</f>
        <v>2024</v>
      </c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</row>
    <row r="969" spans="1:32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>
        <f ca="1">IFERROR(__xludf.DUMMYFUNCTION("""COMPUTED_VALUE"""),2023)</f>
        <v>2023</v>
      </c>
      <c r="Q969" s="2" t="str">
        <f ca="1">IFERROR(__xludf.DUMMYFUNCTION("""COMPUTED_VALUE"""),"1193")</f>
        <v>1193</v>
      </c>
      <c r="R969" s="2" t="str">
        <f ca="1">IFERROR(__xludf.DUMMYFUNCTION("""COMPUTED_VALUE"""),"19.001.0004.0122.0131.2156.33.90.36")</f>
        <v>19.001.0004.0122.0131.2156.33.90.36</v>
      </c>
      <c r="S969" s="2" t="str">
        <f ca="1">IFERROR(__xludf.DUMMYFUNCTION("""COMPUTED_VALUE"""),"05105")</f>
        <v>05105</v>
      </c>
      <c r="T969" s="2">
        <f ca="1">IFERROR(__xludf.DUMMYFUNCTION("""COMPUTED_VALUE"""),2024)</f>
        <v>2024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</row>
    <row r="970" spans="1:32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>
        <f ca="1">IFERROR(__xludf.DUMMYFUNCTION("""COMPUTED_VALUE"""),2023)</f>
        <v>2023</v>
      </c>
      <c r="Q970" s="2" t="str">
        <f ca="1">IFERROR(__xludf.DUMMYFUNCTION("""COMPUTED_VALUE"""),"1194")</f>
        <v>1194</v>
      </c>
      <c r="R970" s="2" t="str">
        <f ca="1">IFERROR(__xludf.DUMMYFUNCTION("""COMPUTED_VALUE"""),"19.001.0004.0122.0131.2156.33.90.39")</f>
        <v>19.001.0004.0122.0131.2156.33.90.39</v>
      </c>
      <c r="S970" s="2" t="str">
        <f ca="1">IFERROR(__xludf.DUMMYFUNCTION("""COMPUTED_VALUE"""),"0000")</f>
        <v>0000</v>
      </c>
      <c r="T970" s="2">
        <f ca="1">IFERROR(__xludf.DUMMYFUNCTION("""COMPUTED_VALUE"""),2024)</f>
        <v>2024</v>
      </c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</row>
    <row r="971" spans="1:32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>
        <f ca="1">IFERROR(__xludf.DUMMYFUNCTION("""COMPUTED_VALUE"""),2023)</f>
        <v>2023</v>
      </c>
      <c r="Q971" s="2" t="str">
        <f ca="1">IFERROR(__xludf.DUMMYFUNCTION("""COMPUTED_VALUE"""),"1195")</f>
        <v>1195</v>
      </c>
      <c r="R971" s="2" t="str">
        <f ca="1">IFERROR(__xludf.DUMMYFUNCTION("""COMPUTED_VALUE"""),"19.001.0004.0122.0131.2156.33.90.39")</f>
        <v>19.001.0004.0122.0131.2156.33.90.39</v>
      </c>
      <c r="S971" s="2" t="str">
        <f ca="1">IFERROR(__xludf.DUMMYFUNCTION("""COMPUTED_VALUE"""),"05105")</f>
        <v>05105</v>
      </c>
      <c r="T971" s="2">
        <f ca="1">IFERROR(__xludf.DUMMYFUNCTION("""COMPUTED_VALUE"""),2024)</f>
        <v>2024</v>
      </c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</row>
    <row r="972" spans="1:3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>
        <f ca="1">IFERROR(__xludf.DUMMYFUNCTION("""COMPUTED_VALUE"""),2023)</f>
        <v>2023</v>
      </c>
      <c r="Q972" s="2" t="str">
        <f ca="1">IFERROR(__xludf.DUMMYFUNCTION("""COMPUTED_VALUE"""),"1196")</f>
        <v>1196</v>
      </c>
      <c r="R972" s="2" t="str">
        <f ca="1">IFERROR(__xludf.DUMMYFUNCTION("""COMPUTED_VALUE"""),"19.001.0004.0122.0131.2156.33.90.40")</f>
        <v>19.001.0004.0122.0131.2156.33.90.40</v>
      </c>
      <c r="S972" s="2" t="str">
        <f ca="1">IFERROR(__xludf.DUMMYFUNCTION("""COMPUTED_VALUE"""),"0000")</f>
        <v>0000</v>
      </c>
      <c r="T972" s="2">
        <f ca="1">IFERROR(__xludf.DUMMYFUNCTION("""COMPUTED_VALUE"""),2024)</f>
        <v>2024</v>
      </c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</row>
    <row r="973" spans="1:32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>
        <f ca="1">IFERROR(__xludf.DUMMYFUNCTION("""COMPUTED_VALUE"""),2023)</f>
        <v>2023</v>
      </c>
      <c r="Q973" s="2" t="str">
        <f ca="1">IFERROR(__xludf.DUMMYFUNCTION("""COMPUTED_VALUE"""),"1197")</f>
        <v>1197</v>
      </c>
      <c r="R973" s="2" t="str">
        <f ca="1">IFERROR(__xludf.DUMMYFUNCTION("""COMPUTED_VALUE"""),"19.001.0004.0122.0131.2156.33.90.40")</f>
        <v>19.001.0004.0122.0131.2156.33.90.40</v>
      </c>
      <c r="S973" s="2" t="str">
        <f ca="1">IFERROR(__xludf.DUMMYFUNCTION("""COMPUTED_VALUE"""),"05105")</f>
        <v>05105</v>
      </c>
      <c r="T973" s="2">
        <f ca="1">IFERROR(__xludf.DUMMYFUNCTION("""COMPUTED_VALUE"""),2024)</f>
        <v>2024</v>
      </c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</row>
    <row r="974" spans="1:32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>
        <f ca="1">IFERROR(__xludf.DUMMYFUNCTION("""COMPUTED_VALUE"""),2023)</f>
        <v>2023</v>
      </c>
      <c r="Q974" s="2" t="str">
        <f ca="1">IFERROR(__xludf.DUMMYFUNCTION("""COMPUTED_VALUE"""),"1198")</f>
        <v>1198</v>
      </c>
      <c r="R974" s="2" t="str">
        <f ca="1">IFERROR(__xludf.DUMMYFUNCTION("""COMPUTED_VALUE"""),"19.001.0004.0122.0131.2156.44.90.52")</f>
        <v>19.001.0004.0122.0131.2156.44.90.52</v>
      </c>
      <c r="S974" s="2" t="str">
        <f ca="1">IFERROR(__xludf.DUMMYFUNCTION("""COMPUTED_VALUE"""),"0000")</f>
        <v>0000</v>
      </c>
      <c r="T974" s="2">
        <f ca="1">IFERROR(__xludf.DUMMYFUNCTION("""COMPUTED_VALUE"""),2024)</f>
        <v>2024</v>
      </c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</row>
    <row r="975" spans="1:32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>
        <f ca="1">IFERROR(__xludf.DUMMYFUNCTION("""COMPUTED_VALUE"""),2023)</f>
        <v>2023</v>
      </c>
      <c r="Q975" s="2" t="str">
        <f ca="1">IFERROR(__xludf.DUMMYFUNCTION("""COMPUTED_VALUE"""),"1199")</f>
        <v>1199</v>
      </c>
      <c r="R975" s="2" t="str">
        <f ca="1">IFERROR(__xludf.DUMMYFUNCTION("""COMPUTED_VALUE"""),"19.001.0004.0122.0131.2156.44.90.52")</f>
        <v>19.001.0004.0122.0131.2156.44.90.52</v>
      </c>
      <c r="S975" s="2" t="str">
        <f ca="1">IFERROR(__xludf.DUMMYFUNCTION("""COMPUTED_VALUE"""),"05105")</f>
        <v>05105</v>
      </c>
      <c r="T975" s="2">
        <f ca="1">IFERROR(__xludf.DUMMYFUNCTION("""COMPUTED_VALUE"""),2024)</f>
        <v>2024</v>
      </c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</row>
    <row r="976" spans="1:32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>
        <f ca="1">IFERROR(__xludf.DUMMYFUNCTION("""COMPUTED_VALUE"""),2023)</f>
        <v>2023</v>
      </c>
      <c r="Q976" s="2" t="str">
        <f ca="1">IFERROR(__xludf.DUMMYFUNCTION("""COMPUTED_VALUE"""),"1200")</f>
        <v>1200</v>
      </c>
      <c r="R976" s="2" t="str">
        <f ca="1">IFERROR(__xludf.DUMMYFUNCTION("""COMPUTED_VALUE"""),"19.001.0004.0121.0131.2157.33.90.30")</f>
        <v>19.001.0004.0121.0131.2157.33.90.30</v>
      </c>
      <c r="S976" s="2" t="str">
        <f ca="1">IFERROR(__xludf.DUMMYFUNCTION("""COMPUTED_VALUE"""),"0000")</f>
        <v>0000</v>
      </c>
      <c r="T976" s="2">
        <f ca="1">IFERROR(__xludf.DUMMYFUNCTION("""COMPUTED_VALUE"""),2024)</f>
        <v>2024</v>
      </c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</row>
    <row r="977" spans="1:32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>
        <f ca="1">IFERROR(__xludf.DUMMYFUNCTION("""COMPUTED_VALUE"""),2023)</f>
        <v>2023</v>
      </c>
      <c r="Q977" s="2" t="str">
        <f ca="1">IFERROR(__xludf.DUMMYFUNCTION("""COMPUTED_VALUE"""),"1201")</f>
        <v>1201</v>
      </c>
      <c r="R977" s="2" t="str">
        <f ca="1">IFERROR(__xludf.DUMMYFUNCTION("""COMPUTED_VALUE"""),"19.001.0004.0121.0131.2157.33.90.30")</f>
        <v>19.001.0004.0121.0131.2157.33.90.30</v>
      </c>
      <c r="S977" s="2" t="str">
        <f ca="1">IFERROR(__xludf.DUMMYFUNCTION("""COMPUTED_VALUE"""),"05105")</f>
        <v>05105</v>
      </c>
      <c r="T977" s="2">
        <f ca="1">IFERROR(__xludf.DUMMYFUNCTION("""COMPUTED_VALUE"""),2024)</f>
        <v>2024</v>
      </c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</row>
    <row r="978" spans="1:32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>
        <f ca="1">IFERROR(__xludf.DUMMYFUNCTION("""COMPUTED_VALUE"""),2023)</f>
        <v>2023</v>
      </c>
      <c r="Q978" s="2" t="str">
        <f ca="1">IFERROR(__xludf.DUMMYFUNCTION("""COMPUTED_VALUE"""),"1202")</f>
        <v>1202</v>
      </c>
      <c r="R978" s="2" t="str">
        <f ca="1">IFERROR(__xludf.DUMMYFUNCTION("""COMPUTED_VALUE"""),"19.001.0004.0121.0131.2157.33.90.39")</f>
        <v>19.001.0004.0121.0131.2157.33.90.39</v>
      </c>
      <c r="S978" s="2" t="str">
        <f ca="1">IFERROR(__xludf.DUMMYFUNCTION("""COMPUTED_VALUE"""),"0000")</f>
        <v>0000</v>
      </c>
      <c r="T978" s="2">
        <f ca="1">IFERROR(__xludf.DUMMYFUNCTION("""COMPUTED_VALUE"""),2024)</f>
        <v>2024</v>
      </c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</row>
    <row r="979" spans="1:32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>
        <f ca="1">IFERROR(__xludf.DUMMYFUNCTION("""COMPUTED_VALUE"""),2023)</f>
        <v>2023</v>
      </c>
      <c r="Q979" s="2" t="str">
        <f ca="1">IFERROR(__xludf.DUMMYFUNCTION("""COMPUTED_VALUE"""),"1203")</f>
        <v>1203</v>
      </c>
      <c r="R979" s="2" t="str">
        <f ca="1">IFERROR(__xludf.DUMMYFUNCTION("""COMPUTED_VALUE"""),"19.001.0004.0121.0131.2157.33.90.39")</f>
        <v>19.001.0004.0121.0131.2157.33.90.39</v>
      </c>
      <c r="S979" s="2" t="str">
        <f ca="1">IFERROR(__xludf.DUMMYFUNCTION("""COMPUTED_VALUE"""),"05105")</f>
        <v>05105</v>
      </c>
      <c r="T979" s="2">
        <f ca="1">IFERROR(__xludf.DUMMYFUNCTION("""COMPUTED_VALUE"""),2024)</f>
        <v>2024</v>
      </c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</row>
    <row r="980" spans="1:32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>
        <f ca="1">IFERROR(__xludf.DUMMYFUNCTION("""COMPUTED_VALUE"""),2023)</f>
        <v>2023</v>
      </c>
      <c r="Q980" s="2" t="str">
        <f ca="1">IFERROR(__xludf.DUMMYFUNCTION("""COMPUTED_VALUE"""),"1204")</f>
        <v>1204</v>
      </c>
      <c r="R980" s="2" t="str">
        <f ca="1">IFERROR(__xludf.DUMMYFUNCTION("""COMPUTED_VALUE"""),"19.001.0015.0452.0104.1084.44.90.52")</f>
        <v>19.001.0015.0452.0104.1084.44.90.52</v>
      </c>
      <c r="S980" s="2" t="str">
        <f ca="1">IFERROR(__xludf.DUMMYFUNCTION("""COMPUTED_VALUE"""),"0000")</f>
        <v>0000</v>
      </c>
      <c r="T980" s="2">
        <f ca="1">IFERROR(__xludf.DUMMYFUNCTION("""COMPUTED_VALUE"""),2024)</f>
        <v>2024</v>
      </c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</row>
    <row r="981" spans="1:32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>
        <f ca="1">IFERROR(__xludf.DUMMYFUNCTION("""COMPUTED_VALUE"""),2023)</f>
        <v>2023</v>
      </c>
      <c r="Q981" s="2" t="str">
        <f ca="1">IFERROR(__xludf.DUMMYFUNCTION("""COMPUTED_VALUE"""),"1205")</f>
        <v>1205</v>
      </c>
      <c r="R981" s="2" t="str">
        <f ca="1">IFERROR(__xludf.DUMMYFUNCTION("""COMPUTED_VALUE"""),"19.001.0015.0452.0104.2158.33.90.39")</f>
        <v>19.001.0015.0452.0104.2158.33.90.39</v>
      </c>
      <c r="S981" s="2" t="str">
        <f ca="1">IFERROR(__xludf.DUMMYFUNCTION("""COMPUTED_VALUE"""),"0000")</f>
        <v>0000</v>
      </c>
      <c r="T981" s="2">
        <f ca="1">IFERROR(__xludf.DUMMYFUNCTION("""COMPUTED_VALUE"""),2024)</f>
        <v>2024</v>
      </c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</row>
    <row r="982" spans="1:3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>
        <f ca="1">IFERROR(__xludf.DUMMYFUNCTION("""COMPUTED_VALUE"""),2023)</f>
        <v>2023</v>
      </c>
      <c r="Q982" s="2" t="str">
        <f ca="1">IFERROR(__xludf.DUMMYFUNCTION("""COMPUTED_VALUE"""),"1206")</f>
        <v>1206</v>
      </c>
      <c r="R982" s="2" t="str">
        <f ca="1">IFERROR(__xludf.DUMMYFUNCTION("""COMPUTED_VALUE"""),"19.001.0015.0452.0104.2158.33.90.40")</f>
        <v>19.001.0015.0452.0104.2158.33.90.40</v>
      </c>
      <c r="S982" s="2" t="str">
        <f ca="1">IFERROR(__xludf.DUMMYFUNCTION("""COMPUTED_VALUE"""),"0000")</f>
        <v>0000</v>
      </c>
      <c r="T982" s="2">
        <f ca="1">IFERROR(__xludf.DUMMYFUNCTION("""COMPUTED_VALUE"""),2024)</f>
        <v>2024</v>
      </c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</row>
    <row r="983" spans="1:32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>
        <f ca="1">IFERROR(__xludf.DUMMYFUNCTION("""COMPUTED_VALUE"""),2023)</f>
        <v>2023</v>
      </c>
      <c r="Q983" s="2" t="str">
        <f ca="1">IFERROR(__xludf.DUMMYFUNCTION("""COMPUTED_VALUE"""),"1207")</f>
        <v>1207</v>
      </c>
      <c r="R983" s="2" t="str">
        <f ca="1">IFERROR(__xludf.DUMMYFUNCTION("""COMPUTED_VALUE"""),"19.001.0015.0452.0104.2158.44.90.51")</f>
        <v>19.001.0015.0452.0104.2158.44.90.51</v>
      </c>
      <c r="S983" s="2" t="str">
        <f ca="1">IFERROR(__xludf.DUMMYFUNCTION("""COMPUTED_VALUE"""),"0000")</f>
        <v>0000</v>
      </c>
      <c r="T983" s="2">
        <f ca="1">IFERROR(__xludf.DUMMYFUNCTION("""COMPUTED_VALUE"""),2024)</f>
        <v>2024</v>
      </c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</row>
    <row r="984" spans="1:32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>
        <f ca="1">IFERROR(__xludf.DUMMYFUNCTION("""COMPUTED_VALUE"""),2023)</f>
        <v>2023</v>
      </c>
      <c r="Q984" s="2" t="str">
        <f ca="1">IFERROR(__xludf.DUMMYFUNCTION("""COMPUTED_VALUE"""),"1208")</f>
        <v>1208</v>
      </c>
      <c r="R984" s="2" t="str">
        <f ca="1">IFERROR(__xludf.DUMMYFUNCTION("""COMPUTED_VALUE"""),"06.001.0010.0301.0094.2039.33.72.30")</f>
        <v>06.001.0010.0301.0094.2039.33.72.30</v>
      </c>
      <c r="S984" s="2" t="str">
        <f ca="1">IFERROR(__xludf.DUMMYFUNCTION("""COMPUTED_VALUE"""),"10170")</f>
        <v>10170</v>
      </c>
      <c r="T984" s="2">
        <f ca="1">IFERROR(__xludf.DUMMYFUNCTION("""COMPUTED_VALUE"""),2024)</f>
        <v>2024</v>
      </c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</row>
    <row r="985" spans="1:32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>
        <f ca="1">IFERROR(__xludf.DUMMYFUNCTION("""COMPUTED_VALUE"""),2023)</f>
        <v>2023</v>
      </c>
      <c r="Q985" s="2" t="str">
        <f ca="1">IFERROR(__xludf.DUMMYFUNCTION("""COMPUTED_VALUE"""),"1209")</f>
        <v>1209</v>
      </c>
      <c r="R985" s="2" t="str">
        <f ca="1">IFERROR(__xludf.DUMMYFUNCTION("""COMPUTED_VALUE"""),"06.001.0010.0301.0094.2038.33.90.39")</f>
        <v>06.001.0010.0301.0094.2038.33.90.39</v>
      </c>
      <c r="S985" s="2" t="str">
        <f ca="1">IFERROR(__xludf.DUMMYFUNCTION("""COMPUTED_VALUE"""),"00499")</f>
        <v>00499</v>
      </c>
      <c r="T985" s="2">
        <f ca="1">IFERROR(__xludf.DUMMYFUNCTION("""COMPUTED_VALUE"""),2024)</f>
        <v>2024</v>
      </c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</row>
    <row r="986" spans="1:32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>
        <f ca="1">IFERROR(__xludf.DUMMYFUNCTION("""COMPUTED_VALUE"""),2023)</f>
        <v>2023</v>
      </c>
      <c r="Q986" s="2" t="str">
        <f ca="1">IFERROR(__xludf.DUMMYFUNCTION("""COMPUTED_VALUE"""),"1210")</f>
        <v>1210</v>
      </c>
      <c r="R986" s="2" t="str">
        <f ca="1">IFERROR(__xludf.DUMMYFUNCTION("""COMPUTED_VALUE"""),"06.001.0010.0301.0094.2039.33.72.30")</f>
        <v>06.001.0010.0301.0094.2039.33.72.30</v>
      </c>
      <c r="S986" s="2" t="str">
        <f ca="1">IFERROR(__xludf.DUMMYFUNCTION("""COMPUTED_VALUE"""),"01016")</f>
        <v>01016</v>
      </c>
      <c r="T986" s="2">
        <f ca="1">IFERROR(__xludf.DUMMYFUNCTION("""COMPUTED_VALUE"""),2024)</f>
        <v>2024</v>
      </c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</row>
    <row r="987" spans="1:32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>
        <f ca="1">IFERROR(__xludf.DUMMYFUNCTION("""COMPUTED_VALUE"""),2023)</f>
        <v>2023</v>
      </c>
      <c r="Q987" s="2" t="str">
        <f ca="1">IFERROR(__xludf.DUMMYFUNCTION("""COMPUTED_VALUE"""),"1211")</f>
        <v>1211</v>
      </c>
      <c r="R987" s="2" t="str">
        <f ca="1">IFERROR(__xludf.DUMMYFUNCTION("""COMPUTED_VALUE"""),"06.001.0010.0301.0094.2039.33.90.37")</f>
        <v>06.001.0010.0301.0094.2039.33.90.37</v>
      </c>
      <c r="S987" s="2" t="str">
        <f ca="1">IFERROR(__xludf.DUMMYFUNCTION("""COMPUTED_VALUE"""),"01016")</f>
        <v>01016</v>
      </c>
      <c r="T987" s="2">
        <f ca="1">IFERROR(__xludf.DUMMYFUNCTION("""COMPUTED_VALUE"""),2024)</f>
        <v>2024</v>
      </c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</row>
    <row r="988" spans="1:32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>
        <f ca="1">IFERROR(__xludf.DUMMYFUNCTION("""COMPUTED_VALUE"""),2023)</f>
        <v>2023</v>
      </c>
      <c r="Q988" s="2" t="str">
        <f ca="1">IFERROR(__xludf.DUMMYFUNCTION("""COMPUTED_VALUE"""),"1212")</f>
        <v>1212</v>
      </c>
      <c r="R988" s="2" t="str">
        <f ca="1">IFERROR(__xludf.DUMMYFUNCTION("""COMPUTED_VALUE"""),"06.001.0010.0301.0094.2039.33.90.39")</f>
        <v>06.001.0010.0301.0094.2039.33.90.39</v>
      </c>
      <c r="S988" s="2" t="str">
        <f ca="1">IFERROR(__xludf.DUMMYFUNCTION("""COMPUTED_VALUE"""),"01019")</f>
        <v>01019</v>
      </c>
      <c r="T988" s="2">
        <f ca="1">IFERROR(__xludf.DUMMYFUNCTION("""COMPUTED_VALUE"""),2024)</f>
        <v>2024</v>
      </c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</row>
    <row r="989" spans="1:32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>
        <f ca="1">IFERROR(__xludf.DUMMYFUNCTION("""COMPUTED_VALUE"""),2023)</f>
        <v>2023</v>
      </c>
      <c r="Q989" s="2" t="str">
        <f ca="1">IFERROR(__xludf.DUMMYFUNCTION("""COMPUTED_VALUE"""),"1213")</f>
        <v>1213</v>
      </c>
      <c r="R989" s="2" t="str">
        <f ca="1">IFERROR(__xludf.DUMMYFUNCTION("""COMPUTED_VALUE"""),"06.001.0010.0301.0094.2039.33.90.39")</f>
        <v>06.001.0010.0301.0094.2039.33.90.39</v>
      </c>
      <c r="S989" s="2" t="str">
        <f ca="1">IFERROR(__xludf.DUMMYFUNCTION("""COMPUTED_VALUE"""),"00012")</f>
        <v>00012</v>
      </c>
      <c r="T989" s="2">
        <f ca="1">IFERROR(__xludf.DUMMYFUNCTION("""COMPUTED_VALUE"""),2024)</f>
        <v>2024</v>
      </c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</row>
    <row r="990" spans="1:32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>
        <f ca="1">IFERROR(__xludf.DUMMYFUNCTION("""COMPUTED_VALUE"""),2023)</f>
        <v>2023</v>
      </c>
      <c r="Q990" s="2" t="str">
        <f ca="1">IFERROR(__xludf.DUMMYFUNCTION("""COMPUTED_VALUE"""),"1214")</f>
        <v>1214</v>
      </c>
      <c r="R990" s="2" t="str">
        <f ca="1">IFERROR(__xludf.DUMMYFUNCTION("""COMPUTED_VALUE"""),"06.001.0010.0305.0094.2040.33.90.37")</f>
        <v>06.001.0010.0305.0094.2040.33.90.37</v>
      </c>
      <c r="S990" s="2" t="str">
        <f ca="1">IFERROR(__xludf.DUMMYFUNCTION("""COMPUTED_VALUE"""),"00497")</f>
        <v>00497</v>
      </c>
      <c r="T990" s="2">
        <f ca="1">IFERROR(__xludf.DUMMYFUNCTION("""COMPUTED_VALUE"""),2024)</f>
        <v>2024</v>
      </c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</row>
    <row r="991" spans="1:32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>
        <f ca="1">IFERROR(__xludf.DUMMYFUNCTION("""COMPUTED_VALUE"""),2023)</f>
        <v>2023</v>
      </c>
      <c r="Q991" s="2" t="str">
        <f ca="1">IFERROR(__xludf.DUMMYFUNCTION("""COMPUTED_VALUE"""),"1215")</f>
        <v>1215</v>
      </c>
      <c r="R991" s="2" t="str">
        <f ca="1">IFERROR(__xludf.DUMMYFUNCTION("""COMPUTED_VALUE"""),"06.001.0010.0302.0094.2044.33.90.39")</f>
        <v>06.001.0010.0302.0094.2044.33.90.39</v>
      </c>
      <c r="S991" s="2" t="str">
        <f ca="1">IFERROR(__xludf.DUMMYFUNCTION("""COMPUTED_VALUE"""),"04941")</f>
        <v>04941</v>
      </c>
      <c r="T991" s="2">
        <f ca="1">IFERROR(__xludf.DUMMYFUNCTION("""COMPUTED_VALUE"""),2024)</f>
        <v>2024</v>
      </c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</row>
    <row r="992" spans="1:3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>
        <f ca="1">IFERROR(__xludf.DUMMYFUNCTION("""COMPUTED_VALUE"""),2023)</f>
        <v>2023</v>
      </c>
      <c r="Q992" s="2" t="str">
        <f ca="1">IFERROR(__xludf.DUMMYFUNCTION("""COMPUTED_VALUE"""),"1216")</f>
        <v>1216</v>
      </c>
      <c r="R992" s="2" t="str">
        <f ca="1">IFERROR(__xludf.DUMMYFUNCTION("""COMPUTED_VALUE"""),"06.001.0010.0302.0094.2045.33.90.39")</f>
        <v>06.001.0010.0302.0094.2045.33.90.39</v>
      </c>
      <c r="S992" s="2" t="str">
        <f ca="1">IFERROR(__xludf.DUMMYFUNCTION("""COMPUTED_VALUE"""),"04941")</f>
        <v>04941</v>
      </c>
      <c r="T992" s="2">
        <f ca="1">IFERROR(__xludf.DUMMYFUNCTION("""COMPUTED_VALUE"""),2024)</f>
        <v>2024</v>
      </c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</row>
    <row r="993" spans="1:32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>
        <f ca="1">IFERROR(__xludf.DUMMYFUNCTION("""COMPUTED_VALUE"""),2023)</f>
        <v>2023</v>
      </c>
      <c r="Q993" s="2" t="str">
        <f ca="1">IFERROR(__xludf.DUMMYFUNCTION("""COMPUTED_VALUE"""),"1217")</f>
        <v>1217</v>
      </c>
      <c r="R993" s="2" t="str">
        <f ca="1">IFERROR(__xludf.DUMMYFUNCTION("""COMPUTED_VALUE"""),"06.001.0010.0301.0094.1019.44.90.52")</f>
        <v>06.001.0010.0301.0094.1019.44.90.52</v>
      </c>
      <c r="S993" s="2" t="str">
        <f ca="1">IFERROR(__xludf.DUMMYFUNCTION("""COMPUTED_VALUE"""),"00501")</f>
        <v>00501</v>
      </c>
      <c r="T993" s="2">
        <f ca="1">IFERROR(__xludf.DUMMYFUNCTION("""COMPUTED_VALUE"""),2024)</f>
        <v>2024</v>
      </c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</row>
    <row r="994" spans="1:32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>
        <f ca="1">IFERROR(__xludf.DUMMYFUNCTION("""COMPUTED_VALUE"""),2023)</f>
        <v>2023</v>
      </c>
      <c r="Q994" s="2" t="str">
        <f ca="1">IFERROR(__xludf.DUMMYFUNCTION("""COMPUTED_VALUE"""),"1218")</f>
        <v>1218</v>
      </c>
      <c r="R994" s="2" t="str">
        <f ca="1">IFERROR(__xludf.DUMMYFUNCTION("""COMPUTED_VALUE"""),"06.001.0010.0302.0094.1020.44.90.52")</f>
        <v>06.001.0010.0302.0094.1020.44.90.52</v>
      </c>
      <c r="S994" s="2" t="str">
        <f ca="1">IFERROR(__xludf.DUMMYFUNCTION("""COMPUTED_VALUE"""),"00501")</f>
        <v>00501</v>
      </c>
      <c r="T994" s="2">
        <f ca="1">IFERROR(__xludf.DUMMYFUNCTION("""COMPUTED_VALUE"""),2024)</f>
        <v>2024</v>
      </c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</row>
    <row r="995" spans="1:32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>
        <f ca="1">IFERROR(__xludf.DUMMYFUNCTION("""COMPUTED_VALUE"""),2023)</f>
        <v>2023</v>
      </c>
      <c r="Q995" s="2" t="str">
        <f ca="1">IFERROR(__xludf.DUMMYFUNCTION("""COMPUTED_VALUE"""),"1219")</f>
        <v>1219</v>
      </c>
      <c r="R995" s="2" t="str">
        <f ca="1">IFERROR(__xludf.DUMMYFUNCTION("""COMPUTED_VALUE"""),"18.004.0006.0182.0140.1075.44.90.52")</f>
        <v>18.004.0006.0182.0140.1075.44.90.52</v>
      </c>
      <c r="S995" s="2" t="str">
        <f ca="1">IFERROR(__xludf.DUMMYFUNCTION("""COMPUTED_VALUE"""),"00515")</f>
        <v>00515</v>
      </c>
      <c r="T995" s="2">
        <f ca="1">IFERROR(__xludf.DUMMYFUNCTION("""COMPUTED_VALUE"""),2024)</f>
        <v>2024</v>
      </c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</row>
    <row r="996" spans="1:32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>
        <f ca="1">IFERROR(__xludf.DUMMYFUNCTION("""COMPUTED_VALUE"""),2023)</f>
        <v>2023</v>
      </c>
      <c r="Q996" s="2" t="str">
        <f ca="1">IFERROR(__xludf.DUMMYFUNCTION("""COMPUTED_VALUE"""),"1220")</f>
        <v>1220</v>
      </c>
      <c r="R996" s="2" t="str">
        <f ca="1">IFERROR(__xludf.DUMMYFUNCTION("""COMPUTED_VALUE"""),"05.001.0012.0361.0074.6018.33.90.36")</f>
        <v>05.001.0012.0361.0074.6018.33.90.36</v>
      </c>
      <c r="S996" s="2" t="str">
        <f ca="1">IFERROR(__xludf.DUMMYFUNCTION("""COMPUTED_VALUE"""),"00102")</f>
        <v>00102</v>
      </c>
      <c r="T996" s="2">
        <f ca="1">IFERROR(__xludf.DUMMYFUNCTION("""COMPUTED_VALUE"""),2024)</f>
        <v>2024</v>
      </c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</row>
    <row r="997" spans="1:32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>
        <f ca="1">IFERROR(__xludf.DUMMYFUNCTION("""COMPUTED_VALUE"""),2023)</f>
        <v>2023</v>
      </c>
      <c r="Q997" s="2" t="str">
        <f ca="1">IFERROR(__xludf.DUMMYFUNCTION("""COMPUTED_VALUE"""),"1221")</f>
        <v>1221</v>
      </c>
      <c r="R997" s="2" t="str">
        <f ca="1">IFERROR(__xludf.DUMMYFUNCTION("""COMPUTED_VALUE"""),"06.001.0010.0301.0094.1023.44.90.51")</f>
        <v>06.001.0010.0301.0094.1023.44.90.51</v>
      </c>
      <c r="S997" s="2" t="str">
        <f ca="1">IFERROR(__xludf.DUMMYFUNCTION("""COMPUTED_VALUE"""),"05181")</f>
        <v>05181</v>
      </c>
      <c r="T997" s="2">
        <f ca="1">IFERROR(__xludf.DUMMYFUNCTION("""COMPUTED_VALUE"""),2024)</f>
        <v>2024</v>
      </c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</row>
    <row r="998" spans="1:32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>
        <f ca="1">IFERROR(__xludf.DUMMYFUNCTION("""COMPUTED_VALUE"""),2023)</f>
        <v>2023</v>
      </c>
      <c r="Q998" s="2" t="str">
        <f ca="1">IFERROR(__xludf.DUMMYFUNCTION("""COMPUTED_VALUE"""),"1222")</f>
        <v>1222</v>
      </c>
      <c r="R998" s="2" t="str">
        <f ca="1">IFERROR(__xludf.DUMMYFUNCTION("""COMPUTED_VALUE"""),"06.001.0010.0301.0094.1015.44.90.52")</f>
        <v>06.001.0010.0301.0094.1015.44.90.52</v>
      </c>
      <c r="S998" s="2" t="str">
        <f ca="1">IFERROR(__xludf.DUMMYFUNCTION("""COMPUTED_VALUE"""),"00501")</f>
        <v>00501</v>
      </c>
      <c r="T998" s="2">
        <f ca="1">IFERROR(__xludf.DUMMYFUNCTION("""COMPUTED_VALUE"""),2024)</f>
        <v>2024</v>
      </c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</row>
    <row r="999" spans="1:32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>
        <f ca="1">IFERROR(__xludf.DUMMYFUNCTION("""COMPUTED_VALUE"""),2023)</f>
        <v>2023</v>
      </c>
      <c r="Q999" s="2" t="str">
        <f ca="1">IFERROR(__xludf.DUMMYFUNCTION("""COMPUTED_VALUE"""),"1223")</f>
        <v>1223</v>
      </c>
      <c r="R999" s="2" t="str">
        <f ca="1">IFERROR(__xludf.DUMMYFUNCTION("""COMPUTED_VALUE"""),"06.001.0010.0301.0094.2039.33.90.39")</f>
        <v>06.001.0010.0301.0094.2039.33.90.39</v>
      </c>
      <c r="S999" s="2" t="str">
        <f ca="1">IFERROR(__xludf.DUMMYFUNCTION("""COMPUTED_VALUE"""),"10170")</f>
        <v>10170</v>
      </c>
      <c r="T999" s="2">
        <f ca="1">IFERROR(__xludf.DUMMYFUNCTION("""COMPUTED_VALUE"""),2024)</f>
        <v>2024</v>
      </c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</row>
    <row r="1000" spans="1:32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>
        <f ca="1">IFERROR(__xludf.DUMMYFUNCTION("""COMPUTED_VALUE"""),2023)</f>
        <v>2023</v>
      </c>
      <c r="Q1000" s="2" t="str">
        <f ca="1">IFERROR(__xludf.DUMMYFUNCTION("""COMPUTED_VALUE"""),"1224")</f>
        <v>1224</v>
      </c>
      <c r="R1000" s="2" t="str">
        <f ca="1">IFERROR(__xludf.DUMMYFUNCTION("""COMPUTED_VALUE"""),"06.001.0010.0301.0094.2039.33.90.30")</f>
        <v>06.001.0010.0301.0094.2039.33.90.30</v>
      </c>
      <c r="S1000" s="2" t="str">
        <f ca="1">IFERROR(__xludf.DUMMYFUNCTION("""COMPUTED_VALUE"""),"10170")</f>
        <v>10170</v>
      </c>
      <c r="T1000" s="2">
        <f ca="1">IFERROR(__xludf.DUMMYFUNCTION("""COMPUTED_VALUE"""),2024)</f>
        <v>2024</v>
      </c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</row>
    <row r="1001" spans="1:32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>
        <f ca="1">IFERROR(__xludf.DUMMYFUNCTION("""COMPUTED_VALUE"""),2023)</f>
        <v>2023</v>
      </c>
      <c r="Q1001" s="2" t="str">
        <f ca="1">IFERROR(__xludf.DUMMYFUNCTION("""COMPUTED_VALUE"""),"1225")</f>
        <v>1225</v>
      </c>
      <c r="R1001" s="2" t="str">
        <f ca="1">IFERROR(__xludf.DUMMYFUNCTION("""COMPUTED_VALUE"""),"08.005.0008.0243.0118.6001.33.90.30")</f>
        <v>08.005.0008.0243.0118.6001.33.90.30</v>
      </c>
      <c r="S1001" s="2" t="str">
        <f ca="1">IFERROR(__xludf.DUMMYFUNCTION("""COMPUTED_VALUE"""),"00928")</f>
        <v>00928</v>
      </c>
      <c r="T1001" s="2">
        <f ca="1">IFERROR(__xludf.DUMMYFUNCTION("""COMPUTED_VALUE"""),2024)</f>
        <v>2024</v>
      </c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</row>
    <row r="1002" spans="1:3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>
        <f ca="1">IFERROR(__xludf.DUMMYFUNCTION("""COMPUTED_VALUE"""),2023)</f>
        <v>2023</v>
      </c>
      <c r="Q1002" s="2" t="str">
        <f ca="1">IFERROR(__xludf.DUMMYFUNCTION("""COMPUTED_VALUE"""),"1226")</f>
        <v>1226</v>
      </c>
      <c r="R1002" s="2" t="str">
        <f ca="1">IFERROR(__xludf.DUMMYFUNCTION("""COMPUTED_VALUE"""),"08.005.0008.0243.0118.6001.33.90.39")</f>
        <v>08.005.0008.0243.0118.6001.33.90.39</v>
      </c>
      <c r="S1002" s="2" t="str">
        <f ca="1">IFERROR(__xludf.DUMMYFUNCTION("""COMPUTED_VALUE"""),"00928")</f>
        <v>00928</v>
      </c>
      <c r="T1002" s="2">
        <f ca="1">IFERROR(__xludf.DUMMYFUNCTION("""COMPUTED_VALUE"""),2024)</f>
        <v>2024</v>
      </c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</row>
    <row r="1003" spans="1:32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>
        <f ca="1">IFERROR(__xludf.DUMMYFUNCTION("""COMPUTED_VALUE"""),2023)</f>
        <v>2023</v>
      </c>
      <c r="Q1003" s="2" t="str">
        <f ca="1">IFERROR(__xludf.DUMMYFUNCTION("""COMPUTED_VALUE"""),"1227")</f>
        <v>1227</v>
      </c>
      <c r="R1003" s="2" t="str">
        <f ca="1">IFERROR(__xludf.DUMMYFUNCTION("""COMPUTED_VALUE"""),"08.005.0008.0244.0118.2030.33.90.40")</f>
        <v>08.005.0008.0244.0118.2030.33.90.40</v>
      </c>
      <c r="S1003" s="2" t="str">
        <f ca="1">IFERROR(__xludf.DUMMYFUNCTION("""COMPUTED_VALUE"""),"10184")</f>
        <v>10184</v>
      </c>
      <c r="T1003" s="2">
        <f ca="1">IFERROR(__xludf.DUMMYFUNCTION("""COMPUTED_VALUE"""),2024)</f>
        <v>2024</v>
      </c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</row>
    <row r="1004" spans="1:32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>
        <f ca="1">IFERROR(__xludf.DUMMYFUNCTION("""COMPUTED_VALUE"""),2023)</f>
        <v>2023</v>
      </c>
      <c r="Q1004" s="2" t="str">
        <f ca="1">IFERROR(__xludf.DUMMYFUNCTION("""COMPUTED_VALUE"""),"1228")</f>
        <v>1228</v>
      </c>
      <c r="R1004" s="2" t="str">
        <f ca="1">IFERROR(__xludf.DUMMYFUNCTION("""COMPUTED_VALUE"""),"04.002.0004.0122.0040.2005.31.90.07")</f>
        <v>04.002.0004.0122.0040.2005.31.90.07</v>
      </c>
      <c r="S1004" s="2" t="str">
        <f ca="1">IFERROR(__xludf.DUMMYFUNCTION("""COMPUTED_VALUE"""),"0000")</f>
        <v>0000</v>
      </c>
      <c r="T1004" s="2">
        <f ca="1">IFERROR(__xludf.DUMMYFUNCTION("""COMPUTED_VALUE"""),2024)</f>
        <v>2024</v>
      </c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</row>
    <row r="1005" spans="1:32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>
        <f ca="1">IFERROR(__xludf.DUMMYFUNCTION("""COMPUTED_VALUE"""),2023)</f>
        <v>2023</v>
      </c>
      <c r="Q1005" s="2" t="str">
        <f ca="1">IFERROR(__xludf.DUMMYFUNCTION("""COMPUTED_VALUE"""),"1229")</f>
        <v>1229</v>
      </c>
      <c r="R1005" s="2" t="str">
        <f ca="1">IFERROR(__xludf.DUMMYFUNCTION("""COMPUTED_VALUE"""),"03.001.0004.0122.0030.2033.33.90.14")</f>
        <v>03.001.0004.0122.0030.2033.33.90.14</v>
      </c>
      <c r="S1005" s="2" t="str">
        <f ca="1">IFERROR(__xludf.DUMMYFUNCTION("""COMPUTED_VALUE"""),"0000")</f>
        <v>0000</v>
      </c>
      <c r="T1005" s="2">
        <f ca="1">IFERROR(__xludf.DUMMYFUNCTION("""COMPUTED_VALUE"""),2024)</f>
        <v>2024</v>
      </c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</row>
    <row r="1006" spans="1:32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>
        <f ca="1">IFERROR(__xludf.DUMMYFUNCTION("""COMPUTED_VALUE"""),2023)</f>
        <v>2023</v>
      </c>
      <c r="Q1006" s="2" t="str">
        <f ca="1">IFERROR(__xludf.DUMMYFUNCTION("""COMPUTED_VALUE"""),"1230")</f>
        <v>1230</v>
      </c>
      <c r="R1006" s="2" t="str">
        <f ca="1">IFERROR(__xludf.DUMMYFUNCTION("""COMPUTED_VALUE"""),"05.001.0012.0365.0074.6015.33.90.30")</f>
        <v>05.001.0012.0365.0074.6015.33.90.30</v>
      </c>
      <c r="S1006" s="2" t="str">
        <f ca="1">IFERROR(__xludf.DUMMYFUNCTION("""COMPUTED_VALUE"""),"00104")</f>
        <v>00104</v>
      </c>
      <c r="T1006" s="2">
        <f ca="1">IFERROR(__xludf.DUMMYFUNCTION("""COMPUTED_VALUE"""),2024)</f>
        <v>2024</v>
      </c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</row>
    <row r="1007" spans="1:32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>
        <f ca="1">IFERROR(__xludf.DUMMYFUNCTION("""COMPUTED_VALUE"""),2023)</f>
        <v>2023</v>
      </c>
      <c r="Q1007" s="2" t="str">
        <f ca="1">IFERROR(__xludf.DUMMYFUNCTION("""COMPUTED_VALUE"""),"1231")</f>
        <v>1231</v>
      </c>
      <c r="R1007" s="2" t="str">
        <f ca="1">IFERROR(__xludf.DUMMYFUNCTION("""COMPUTED_VALUE"""),"08.003.0008.0244.0118.2030.33.90.39")</f>
        <v>08.003.0008.0244.0118.2030.33.90.39</v>
      </c>
      <c r="S1007" s="2" t="str">
        <f ca="1">IFERROR(__xludf.DUMMYFUNCTION("""COMPUTED_VALUE"""),"00936")</f>
        <v>00936</v>
      </c>
      <c r="T1007" s="2">
        <f ca="1">IFERROR(__xludf.DUMMYFUNCTION("""COMPUTED_VALUE"""),2024)</f>
        <v>2024</v>
      </c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</row>
    <row r="1008" spans="1:32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>
        <f ca="1">IFERROR(__xludf.DUMMYFUNCTION("""COMPUTED_VALUE"""),2023)</f>
        <v>2023</v>
      </c>
      <c r="Q1008" s="2" t="str">
        <f ca="1">IFERROR(__xludf.DUMMYFUNCTION("""COMPUTED_VALUE"""),"1232")</f>
        <v>1232</v>
      </c>
      <c r="R1008" s="2" t="str">
        <f ca="1">IFERROR(__xludf.DUMMYFUNCTION("""COMPUTED_VALUE"""),"08.003.0008.0244.0118.1013.44.90.52")</f>
        <v>08.003.0008.0244.0118.1013.44.90.52</v>
      </c>
      <c r="S1008" s="2" t="str">
        <f ca="1">IFERROR(__xludf.DUMMYFUNCTION("""COMPUTED_VALUE"""),"00936")</f>
        <v>00936</v>
      </c>
      <c r="T1008" s="2">
        <f ca="1">IFERROR(__xludf.DUMMYFUNCTION("""COMPUTED_VALUE"""),2024)</f>
        <v>2024</v>
      </c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</row>
    <row r="1009" spans="1:32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>
        <f ca="1">IFERROR(__xludf.DUMMYFUNCTION("""COMPUTED_VALUE"""),2023)</f>
        <v>2023</v>
      </c>
      <c r="Q1009" s="2" t="str">
        <f ca="1">IFERROR(__xludf.DUMMYFUNCTION("""COMPUTED_VALUE"""),"1233")</f>
        <v>1233</v>
      </c>
      <c r="R1009" s="2" t="str">
        <f ca="1">IFERROR(__xludf.DUMMYFUNCTION("""COMPUTED_VALUE"""),"08.003.0008.0244.0118.2030.33.90.14")</f>
        <v>08.003.0008.0244.0118.2030.33.90.14</v>
      </c>
      <c r="S1009" s="2" t="str">
        <f ca="1">IFERROR(__xludf.DUMMYFUNCTION("""COMPUTED_VALUE"""),"00940")</f>
        <v>00940</v>
      </c>
      <c r="T1009" s="2">
        <f ca="1">IFERROR(__xludf.DUMMYFUNCTION("""COMPUTED_VALUE"""),2024)</f>
        <v>2024</v>
      </c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</row>
    <row r="1010" spans="1:32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>
        <f ca="1">IFERROR(__xludf.DUMMYFUNCTION("""COMPUTED_VALUE"""),2023)</f>
        <v>2023</v>
      </c>
      <c r="Q1010" s="2" t="str">
        <f ca="1">IFERROR(__xludf.DUMMYFUNCTION("""COMPUTED_VALUE"""),"1234")</f>
        <v>1234</v>
      </c>
      <c r="R1010" s="2" t="str">
        <f ca="1">IFERROR(__xludf.DUMMYFUNCTION("""COMPUTED_VALUE"""),"07.007.0015.0452.0104.1053.49.05.10")</f>
        <v>07.007.0015.0452.0104.1053.49.05.10</v>
      </c>
      <c r="S1010" s="2" t="str">
        <f ca="1">IFERROR(__xludf.DUMMYFUNCTION("""COMPUTED_VALUE"""),"00611")</f>
        <v>00611</v>
      </c>
      <c r="T1010" s="2">
        <f ca="1">IFERROR(__xludf.DUMMYFUNCTION("""COMPUTED_VALUE"""),2024)</f>
        <v>2024</v>
      </c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</row>
    <row r="1011" spans="1:32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>
        <f ca="1">IFERROR(__xludf.DUMMYFUNCTION("""COMPUTED_VALUE"""),2023)</f>
        <v>2023</v>
      </c>
      <c r="Q1011" s="2" t="str">
        <f ca="1">IFERROR(__xludf.DUMMYFUNCTION("""COMPUTED_VALUE"""),"1235")</f>
        <v>1235</v>
      </c>
      <c r="R1011" s="2" t="str">
        <f ca="1">IFERROR(__xludf.DUMMYFUNCTION("""COMPUTED_VALUE"""),"07.007.0015.0452.0104.1053.44.90.51")</f>
        <v>07.007.0015.0452.0104.1053.44.90.51</v>
      </c>
      <c r="S1011" s="2" t="str">
        <f ca="1">IFERROR(__xludf.DUMMYFUNCTION("""COMPUTED_VALUE"""),"00611")</f>
        <v>00611</v>
      </c>
      <c r="T1011" s="2">
        <f ca="1">IFERROR(__xludf.DUMMYFUNCTION("""COMPUTED_VALUE"""),2024)</f>
        <v>2024</v>
      </c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</row>
    <row r="1012" spans="1:32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>
        <f ca="1">IFERROR(__xludf.DUMMYFUNCTION("""COMPUTED_VALUE"""),2023)</f>
        <v>2023</v>
      </c>
      <c r="Q1012" s="2" t="str">
        <f ca="1">IFERROR(__xludf.DUMMYFUNCTION("""COMPUTED_VALUE"""),"1236")</f>
        <v>1236</v>
      </c>
      <c r="R1012" s="2" t="str">
        <f ca="1">IFERROR(__xludf.DUMMYFUNCTION("""COMPUTED_VALUE"""),"19.001.0004.0122.0131.2156.33.90.30")</f>
        <v>19.001.0004.0122.0131.2156.33.90.30</v>
      </c>
      <c r="S1012" s="2" t="str">
        <f ca="1">IFERROR(__xludf.DUMMYFUNCTION("""COMPUTED_VALUE"""),"00002")</f>
        <v>00002</v>
      </c>
      <c r="T1012" s="2">
        <f ca="1">IFERROR(__xludf.DUMMYFUNCTION("""COMPUTED_VALUE"""),2024)</f>
        <v>2024</v>
      </c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</row>
    <row r="1013" spans="1:32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>
        <f ca="1">IFERROR(__xludf.DUMMYFUNCTION("""COMPUTED_VALUE"""),2023)</f>
        <v>2023</v>
      </c>
      <c r="Q1013" s="2" t="str">
        <f ca="1">IFERROR(__xludf.DUMMYFUNCTION("""COMPUTED_VALUE"""),"1237")</f>
        <v>1237</v>
      </c>
      <c r="R1013" s="2" t="str">
        <f ca="1">IFERROR(__xludf.DUMMYFUNCTION("""COMPUTED_VALUE"""),"04.001.0004.0122.0040.2003.33.72.39")</f>
        <v>04.001.0004.0122.0040.2003.33.72.39</v>
      </c>
      <c r="S1013" s="2" t="str">
        <f ca="1">IFERROR(__xludf.DUMMYFUNCTION("""COMPUTED_VALUE"""),"00000")</f>
        <v>00000</v>
      </c>
      <c r="T1013" s="2">
        <f ca="1">IFERROR(__xludf.DUMMYFUNCTION("""COMPUTED_VALUE"""),2024)</f>
        <v>2024</v>
      </c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</row>
    <row r="1014" spans="1:32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>
        <f ca="1">IFERROR(__xludf.DUMMYFUNCTION("""COMPUTED_VALUE"""),2023)</f>
        <v>2023</v>
      </c>
      <c r="Q1014" s="2" t="str">
        <f ca="1">IFERROR(__xludf.DUMMYFUNCTION("""COMPUTED_VALUE"""),"1238")</f>
        <v>1238</v>
      </c>
      <c r="R1014" s="2" t="str">
        <f ca="1">IFERROR(__xludf.DUMMYFUNCTION("""COMPUTED_VALUE"""),"04.001.0004.0122.0040.2003.33.72.30")</f>
        <v>04.001.0004.0122.0040.2003.33.72.30</v>
      </c>
      <c r="S1014" s="2" t="str">
        <f ca="1">IFERROR(__xludf.DUMMYFUNCTION("""COMPUTED_VALUE"""),"00000")</f>
        <v>00000</v>
      </c>
      <c r="T1014" s="2">
        <f ca="1">IFERROR(__xludf.DUMMYFUNCTION("""COMPUTED_VALUE"""),2024)</f>
        <v>2024</v>
      </c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</row>
    <row r="1015" spans="1:32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>
        <f ca="1">IFERROR(__xludf.DUMMYFUNCTION("""COMPUTED_VALUE"""),2023)</f>
        <v>2023</v>
      </c>
      <c r="Q1015" s="2" t="str">
        <f ca="1">IFERROR(__xludf.DUMMYFUNCTION("""COMPUTED_VALUE"""),"1240")</f>
        <v>1240</v>
      </c>
      <c r="R1015" s="2" t="str">
        <f ca="1">IFERROR(__xludf.DUMMYFUNCTION("""COMPUTED_VALUE"""),"08.005.0008.0243.0118.6001.33.90.30")</f>
        <v>08.005.0008.0243.0118.6001.33.90.30</v>
      </c>
      <c r="S1015" s="2" t="str">
        <f ca="1">IFERROR(__xludf.DUMMYFUNCTION("""COMPUTED_VALUE"""),"00914")</f>
        <v>00914</v>
      </c>
      <c r="T1015" s="2">
        <f ca="1">IFERROR(__xludf.DUMMYFUNCTION("""COMPUTED_VALUE"""),2024)</f>
        <v>2024</v>
      </c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</row>
    <row r="1016" spans="1:32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>
        <f ca="1">IFERROR(__xludf.DUMMYFUNCTION("""COMPUTED_VALUE"""),2023)</f>
        <v>2023</v>
      </c>
      <c r="Q1016" s="2" t="str">
        <f ca="1">IFERROR(__xludf.DUMMYFUNCTION("""COMPUTED_VALUE"""),"1241")</f>
        <v>1241</v>
      </c>
      <c r="R1016" s="2" t="str">
        <f ca="1">IFERROR(__xludf.DUMMYFUNCTION("""COMPUTED_VALUE"""),"08.005.0008.0243.0118.6001.33.90.32")</f>
        <v>08.005.0008.0243.0118.6001.33.90.32</v>
      </c>
      <c r="S1016" s="2" t="str">
        <f ca="1">IFERROR(__xludf.DUMMYFUNCTION("""COMPUTED_VALUE"""),"00879")</f>
        <v>00879</v>
      </c>
      <c r="T1016" s="2">
        <f ca="1">IFERROR(__xludf.DUMMYFUNCTION("""COMPUTED_VALUE"""),2024)</f>
        <v>2024</v>
      </c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</row>
    <row r="1017" spans="1:32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>
        <f ca="1">IFERROR(__xludf.DUMMYFUNCTION("""COMPUTED_VALUE"""),2023)</f>
        <v>2023</v>
      </c>
      <c r="Q1017" s="2" t="str">
        <f ca="1">IFERROR(__xludf.DUMMYFUNCTION("""COMPUTED_VALUE"""),"1242")</f>
        <v>1242</v>
      </c>
      <c r="R1017" s="2" t="str">
        <f ca="1">IFERROR(__xludf.DUMMYFUNCTION("""COMPUTED_VALUE"""),"01.003.0001.0031.0001.2034.31.90.49")</f>
        <v>01.003.0001.0031.0001.2034.31.90.49</v>
      </c>
      <c r="S1017" s="2" t="str">
        <f ca="1">IFERROR(__xludf.DUMMYFUNCTION("""COMPUTED_VALUE"""),"00001")</f>
        <v>00001</v>
      </c>
      <c r="T1017" s="2">
        <f ca="1">IFERROR(__xludf.DUMMYFUNCTION("""COMPUTED_VALUE"""),2024)</f>
        <v>2024</v>
      </c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</row>
    <row r="1018" spans="1:32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>
        <f ca="1">IFERROR(__xludf.DUMMYFUNCTION("""COMPUTED_VALUE"""),2023)</f>
        <v>2023</v>
      </c>
      <c r="Q1018" s="2" t="str">
        <f ca="1">IFERROR(__xludf.DUMMYFUNCTION("""COMPUTED_VALUE"""),"1243")</f>
        <v>1243</v>
      </c>
      <c r="R1018" s="2" t="str">
        <f ca="1">IFERROR(__xludf.DUMMYFUNCTION("""COMPUTED_VALUE"""),"01.001.0001.0031.0001.2034.31.91.49")</f>
        <v>01.001.0001.0031.0001.2034.31.91.49</v>
      </c>
      <c r="S1018" s="2" t="str">
        <f ca="1">IFERROR(__xludf.DUMMYFUNCTION("""COMPUTED_VALUE"""),"00001")</f>
        <v>00001</v>
      </c>
      <c r="T1018" s="2">
        <f ca="1">IFERROR(__xludf.DUMMYFUNCTION("""COMPUTED_VALUE"""),2024)</f>
        <v>2024</v>
      </c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</row>
    <row r="1019" spans="1:32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>
        <f ca="1">IFERROR(__xludf.DUMMYFUNCTION("""COMPUTED_VALUE"""),2023)</f>
        <v>2023</v>
      </c>
      <c r="Q1019" s="2" t="str">
        <f ca="1">IFERROR(__xludf.DUMMYFUNCTION("""COMPUTED_VALUE"""),"1244")</f>
        <v>1244</v>
      </c>
      <c r="R1019" s="2" t="str">
        <f ca="1">IFERROR(__xludf.DUMMYFUNCTION("""COMPUTED_VALUE"""),"05.001.0012.0361.0074.6018.33.90.93")</f>
        <v>05.001.0012.0361.0074.6018.33.90.93</v>
      </c>
      <c r="S1019" s="2" t="str">
        <f ca="1">IFERROR(__xludf.DUMMYFUNCTION("""COMPUTED_VALUE"""),"10440")</f>
        <v>10440</v>
      </c>
      <c r="T1019" s="2">
        <f ca="1">IFERROR(__xludf.DUMMYFUNCTION("""COMPUTED_VALUE"""),2024)</f>
        <v>2024</v>
      </c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</row>
    <row r="1020" spans="1:32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>
        <f ca="1">IFERROR(__xludf.DUMMYFUNCTION("""COMPUTED_VALUE"""),2023)</f>
        <v>2023</v>
      </c>
      <c r="Q1020" s="2" t="str">
        <f ca="1">IFERROR(__xludf.DUMMYFUNCTION("""COMPUTED_VALUE"""),"1245")</f>
        <v>1245</v>
      </c>
      <c r="R1020" s="2" t="str">
        <f ca="1">IFERROR(__xludf.DUMMYFUNCTION("""COMPUTED_VALUE"""),"18.001.0004.0121.0140.2023.31.90.30")</f>
        <v>18.001.0004.0121.0140.2023.31.90.30</v>
      </c>
      <c r="S1020" s="2" t="str">
        <f ca="1">IFERROR(__xludf.DUMMYFUNCTION("""COMPUTED_VALUE"""),"00509")</f>
        <v>00509</v>
      </c>
      <c r="T1020" s="2">
        <f ca="1">IFERROR(__xludf.DUMMYFUNCTION("""COMPUTED_VALUE"""),2024)</f>
        <v>2024</v>
      </c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</row>
    <row r="1021" spans="1:32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>
        <f ca="1">IFERROR(__xludf.DUMMYFUNCTION("""COMPUTED_VALUE"""),2023)</f>
        <v>2023</v>
      </c>
      <c r="Q1021" s="2" t="str">
        <f ca="1">IFERROR(__xludf.DUMMYFUNCTION("""COMPUTED_VALUE"""),"1246")</f>
        <v>1246</v>
      </c>
      <c r="R1021" s="2" t="str">
        <f ca="1">IFERROR(__xludf.DUMMYFUNCTION("""COMPUTED_VALUE"""),"08.003.0008.0244.0118.2030.31.90.11")</f>
        <v>08.003.0008.0244.0118.2030.31.90.11</v>
      </c>
      <c r="S1021" s="2" t="str">
        <f ca="1">IFERROR(__xludf.DUMMYFUNCTION("""COMPUTED_VALUE"""),"00934")</f>
        <v>00934</v>
      </c>
      <c r="T1021" s="2">
        <f ca="1">IFERROR(__xludf.DUMMYFUNCTION("""COMPUTED_VALUE"""),2024)</f>
        <v>2024</v>
      </c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</row>
    <row r="1022" spans="1:32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>
        <f ca="1">IFERROR(__xludf.DUMMYFUNCTION("""COMPUTED_VALUE"""),2023)</f>
        <v>2023</v>
      </c>
      <c r="Q1022" s="2" t="str">
        <f ca="1">IFERROR(__xludf.DUMMYFUNCTION("""COMPUTED_VALUE"""),"1247")</f>
        <v>1247</v>
      </c>
      <c r="R1022" s="2" t="str">
        <f ca="1">IFERROR(__xludf.DUMMYFUNCTION("""COMPUTED_VALUE"""),"06.001.0010.0302.0094.1020.44.90.52")</f>
        <v>06.001.0010.0302.0094.1020.44.90.52</v>
      </c>
      <c r="S1022" s="2" t="str">
        <f ca="1">IFERROR(__xludf.DUMMYFUNCTION("""COMPUTED_VALUE"""),"10161")</f>
        <v>10161</v>
      </c>
      <c r="T1022" s="2">
        <f ca="1">IFERROR(__xludf.DUMMYFUNCTION("""COMPUTED_VALUE"""),2024)</f>
        <v>2024</v>
      </c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</row>
    <row r="1023" spans="1:32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>
        <f ca="1">IFERROR(__xludf.DUMMYFUNCTION("""COMPUTED_VALUE"""),2023)</f>
        <v>2023</v>
      </c>
      <c r="Q1023" s="2" t="str">
        <f ca="1">IFERROR(__xludf.DUMMYFUNCTION("""COMPUTED_VALUE"""),"1248")</f>
        <v>1248</v>
      </c>
      <c r="R1023" s="2" t="str">
        <f ca="1">IFERROR(__xludf.DUMMYFUNCTION("""COMPUTED_VALUE"""),"..")</f>
        <v>..</v>
      </c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</row>
    <row r="1024" spans="1:32" ht="15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>
        <f ca="1">IFERROR(__xludf.DUMMYFUNCTION("""COMPUTED_VALUE"""),2023)</f>
        <v>2023</v>
      </c>
      <c r="Q1024" s="2" t="str">
        <f ca="1">IFERROR(__xludf.DUMMYFUNCTION("""COMPUTED_VALUE"""),"1249")</f>
        <v>1249</v>
      </c>
      <c r="R1024" s="2" t="str">
        <f ca="1">IFERROR(__xludf.DUMMYFUNCTION("""COMPUTED_VALUE"""),"06.001.0010.0301.0094.1055.44.90.51")</f>
        <v>06.001.0010.0301.0094.1055.44.90.51</v>
      </c>
      <c r="S1024" s="2" t="str">
        <f ca="1">IFERROR(__xludf.DUMMYFUNCTION("""COMPUTED_VALUE"""),"00000")</f>
        <v>00000</v>
      </c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</row>
    <row r="1025" spans="1:32" ht="15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>
        <f ca="1">IFERROR(__xludf.DUMMYFUNCTION("""COMPUTED_VALUE"""),2023)</f>
        <v>2023</v>
      </c>
      <c r="Q1025" s="2" t="str">
        <f ca="1">IFERROR(__xludf.DUMMYFUNCTION("""COMPUTED_VALUE"""),"1250")</f>
        <v>1250</v>
      </c>
      <c r="R1025" s="2" t="str">
        <f ca="1">IFERROR(__xludf.DUMMYFUNCTION("""COMPUTED_VALUE"""),"..")</f>
        <v>..</v>
      </c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</row>
    <row r="1026" spans="1:32" ht="15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>
        <f ca="1">IFERROR(__xludf.DUMMYFUNCTION("""COMPUTED_VALUE"""),2023)</f>
        <v>2023</v>
      </c>
      <c r="Q1026" s="2" t="str">
        <f ca="1">IFERROR(__xludf.DUMMYFUNCTION("""COMPUTED_VALUE"""),"1251")</f>
        <v>1251</v>
      </c>
      <c r="R1026" s="2" t="str">
        <f ca="1">IFERROR(__xludf.DUMMYFUNCTION("""COMPUTED_VALUE"""),"..")</f>
        <v>..</v>
      </c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</row>
    <row r="1027" spans="1:32" ht="15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>
        <f ca="1">IFERROR(__xludf.DUMMYFUNCTION("""COMPUTED_VALUE"""),2023)</f>
        <v>2023</v>
      </c>
      <c r="Q1027" s="2" t="str">
        <f ca="1">IFERROR(__xludf.DUMMYFUNCTION("""COMPUTED_VALUE"""),"1252")</f>
        <v>1252</v>
      </c>
      <c r="R1027" s="2" t="str">
        <f ca="1">IFERROR(__xludf.DUMMYFUNCTION("""COMPUTED_VALUE"""),"..")</f>
        <v>..</v>
      </c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</row>
    <row r="1028" spans="1:32" ht="15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>
        <f ca="1">IFERROR(__xludf.DUMMYFUNCTION("""COMPUTED_VALUE"""),2023)</f>
        <v>2023</v>
      </c>
      <c r="Q1028" s="2" t="str">
        <f ca="1">IFERROR(__xludf.DUMMYFUNCTION("""COMPUTED_VALUE"""),"1253")</f>
        <v>1253</v>
      </c>
      <c r="R1028" s="2" t="str">
        <f ca="1">IFERROR(__xludf.DUMMYFUNCTION("""COMPUTED_VALUE"""),"..")</f>
        <v>..</v>
      </c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</row>
    <row r="1029" spans="1:32" ht="15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>
        <f ca="1">IFERROR(__xludf.DUMMYFUNCTION("""COMPUTED_VALUE"""),2023)</f>
        <v>2023</v>
      </c>
      <c r="Q1029" s="2" t="str">
        <f ca="1">IFERROR(__xludf.DUMMYFUNCTION("""COMPUTED_VALUE"""),"1254")</f>
        <v>1254</v>
      </c>
      <c r="R1029" s="2" t="str">
        <f ca="1">IFERROR(__xludf.DUMMYFUNCTION("""COMPUTED_VALUE"""),"..")</f>
        <v>..</v>
      </c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</row>
    <row r="1030" spans="1:32" ht="15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>
        <f ca="1">IFERROR(__xludf.DUMMYFUNCTION("""COMPUTED_VALUE"""),2023)</f>
        <v>2023</v>
      </c>
      <c r="Q1030" s="2" t="str">
        <f ca="1">IFERROR(__xludf.DUMMYFUNCTION("""COMPUTED_VALUE"""),"1255")</f>
        <v>1255</v>
      </c>
      <c r="R1030" s="2" t="str">
        <f ca="1">IFERROR(__xludf.DUMMYFUNCTION("""COMPUTED_VALUE"""),"..")</f>
        <v>..</v>
      </c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</row>
    <row r="1031" spans="1:32" ht="15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>
        <f ca="1">IFERROR(__xludf.DUMMYFUNCTION("""COMPUTED_VALUE"""),2023)</f>
        <v>2023</v>
      </c>
      <c r="Q1031" s="2" t="str">
        <f ca="1">IFERROR(__xludf.DUMMYFUNCTION("""COMPUTED_VALUE"""),"1256")</f>
        <v>1256</v>
      </c>
      <c r="R1031" s="2" t="str">
        <f ca="1">IFERROR(__xludf.DUMMYFUNCTION("""COMPUTED_VALUE"""),"..")</f>
        <v>..</v>
      </c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</row>
    <row r="1032" spans="1:32" ht="15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>
        <f ca="1">IFERROR(__xludf.DUMMYFUNCTION("""COMPUTED_VALUE"""),2023)</f>
        <v>2023</v>
      </c>
      <c r="Q1032" s="2" t="str">
        <f ca="1">IFERROR(__xludf.DUMMYFUNCTION("""COMPUTED_VALUE"""),"1257")</f>
        <v>1257</v>
      </c>
      <c r="R1032" s="2" t="str">
        <f ca="1">IFERROR(__xludf.DUMMYFUNCTION("""COMPUTED_VALUE"""),"..")</f>
        <v>..</v>
      </c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</row>
    <row r="1033" spans="1:32" ht="15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>
        <f ca="1">IFERROR(__xludf.DUMMYFUNCTION("""COMPUTED_VALUE"""),2023)</f>
        <v>2023</v>
      </c>
      <c r="Q1033" s="2" t="str">
        <f ca="1">IFERROR(__xludf.DUMMYFUNCTION("""COMPUTED_VALUE"""),"1258")</f>
        <v>1258</v>
      </c>
      <c r="R1033" s="2" t="str">
        <f ca="1">IFERROR(__xludf.DUMMYFUNCTION("""COMPUTED_VALUE"""),"11.003.0027.0812.0083.1005.49.05.20")</f>
        <v>11.003.0027.0812.0083.1005.49.05.20</v>
      </c>
      <c r="S1033" s="2" t="str">
        <f ca="1">IFERROR(__xludf.DUMMYFUNCTION("""COMPUTED_VALUE"""),"00613")</f>
        <v>00613</v>
      </c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</row>
    <row r="1034" spans="1:32" ht="15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>
        <f ca="1">IFERROR(__xludf.DUMMYFUNCTION("""COMPUTED_VALUE"""),2023)</f>
        <v>2023</v>
      </c>
      <c r="Q1034" s="2" t="str">
        <f ca="1">IFERROR(__xludf.DUMMYFUNCTION("""COMPUTED_VALUE"""),"1259")</f>
        <v>1259</v>
      </c>
      <c r="R1034" s="2" t="str">
        <f ca="1">IFERROR(__xludf.DUMMYFUNCTION("""COMPUTED_VALUE"""),"06.001.0010.0301.0094.1019.44.90.52")</f>
        <v>06.001.0010.0301.0094.1019.44.90.52</v>
      </c>
      <c r="S1034" s="2" t="str">
        <f ca="1">IFERROR(__xludf.DUMMYFUNCTION("""COMPUTED_VALUE"""),"00613")</f>
        <v>00613</v>
      </c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</row>
    <row r="1035" spans="1:32" ht="15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>
        <f ca="1">IFERROR(__xludf.DUMMYFUNCTION("""COMPUTED_VALUE"""),2023)</f>
        <v>2023</v>
      </c>
      <c r="Q1035" s="2" t="str">
        <f ca="1">IFERROR(__xludf.DUMMYFUNCTION("""COMPUTED_VALUE"""),"1260")</f>
        <v>1260</v>
      </c>
      <c r="R1035" s="2" t="str">
        <f ca="1">IFERROR(__xludf.DUMMYFUNCTION("""COMPUTED_VALUE"""),"06.001.0010.0301.0094.1015.44.90.52")</f>
        <v>06.001.0010.0301.0094.1015.44.90.52</v>
      </c>
      <c r="S1035" s="2" t="str">
        <f ca="1">IFERROR(__xludf.DUMMYFUNCTION("""COMPUTED_VALUE"""),"00000")</f>
        <v>00000</v>
      </c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</row>
    <row r="1036" spans="1:32" ht="15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>
        <f ca="1">IFERROR(__xludf.DUMMYFUNCTION("""COMPUTED_VALUE"""),2023)</f>
        <v>2023</v>
      </c>
      <c r="Q1036" s="2" t="str">
        <f ca="1">IFERROR(__xludf.DUMMYFUNCTION("""COMPUTED_VALUE"""),"1261")</f>
        <v>1261</v>
      </c>
      <c r="R1036" s="2" t="str">
        <f ca="1">IFERROR(__xludf.DUMMYFUNCTION("""COMPUTED_VALUE"""),"11.007.0013.0392.0082.2164.31.90.30")</f>
        <v>11.007.0013.0392.0082.2164.31.90.30</v>
      </c>
      <c r="S1036" s="2" t="str">
        <f ca="1">IFERROR(__xludf.DUMMYFUNCTION("""COMPUTED_VALUE"""),"01053")</f>
        <v>01053</v>
      </c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</row>
    <row r="1037" spans="1:32" ht="15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>
        <f ca="1">IFERROR(__xludf.DUMMYFUNCTION("""COMPUTED_VALUE"""),2023)</f>
        <v>2023</v>
      </c>
      <c r="Q1037" s="2" t="str">
        <f ca="1">IFERROR(__xludf.DUMMYFUNCTION("""COMPUTED_VALUE"""),"1262")</f>
        <v>1262</v>
      </c>
      <c r="R1037" s="2" t="str">
        <f ca="1">IFERROR(__xludf.DUMMYFUNCTION("""COMPUTED_VALUE"""),"11.007.0013.0392.0082.2164.31.90.30")</f>
        <v>11.007.0013.0392.0082.2164.31.90.30</v>
      </c>
      <c r="S1037" s="2" t="str">
        <f ca="1">IFERROR(__xludf.DUMMYFUNCTION("""COMPUTED_VALUE"""),"01054")</f>
        <v>01054</v>
      </c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</row>
    <row r="1038" spans="1:32" ht="15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>
        <f ca="1">IFERROR(__xludf.DUMMYFUNCTION("""COMPUTED_VALUE"""),2023)</f>
        <v>2023</v>
      </c>
      <c r="Q1038" s="2" t="str">
        <f ca="1">IFERROR(__xludf.DUMMYFUNCTION("""COMPUTED_VALUE"""),"1263")</f>
        <v>1263</v>
      </c>
      <c r="R1038" s="2" t="str">
        <f ca="1">IFERROR(__xludf.DUMMYFUNCTION("""COMPUTED_VALUE"""),"11.007.0013.0392.0082.2164.33.90.31")</f>
        <v>11.007.0013.0392.0082.2164.33.90.31</v>
      </c>
      <c r="S1038" s="2" t="str">
        <f ca="1">IFERROR(__xludf.DUMMYFUNCTION("""COMPUTED_VALUE"""),"01053")</f>
        <v>01053</v>
      </c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</row>
    <row r="1039" spans="1:32" ht="15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>
        <f ca="1">IFERROR(__xludf.DUMMYFUNCTION("""COMPUTED_VALUE"""),2023)</f>
        <v>2023</v>
      </c>
      <c r="Q1039" s="2" t="str">
        <f ca="1">IFERROR(__xludf.DUMMYFUNCTION("""COMPUTED_VALUE"""),"1264")</f>
        <v>1264</v>
      </c>
      <c r="R1039" s="2" t="str">
        <f ca="1">IFERROR(__xludf.DUMMYFUNCTION("""COMPUTED_VALUE"""),"11.007.0013.0392.0082.2164.33.90.31")</f>
        <v>11.007.0013.0392.0082.2164.33.90.31</v>
      </c>
      <c r="S1039" s="2" t="str">
        <f ca="1">IFERROR(__xludf.DUMMYFUNCTION("""COMPUTED_VALUE"""),"01054")</f>
        <v>01054</v>
      </c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</row>
    <row r="1040" spans="1:32" ht="15.75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>
        <f ca="1">IFERROR(__xludf.DUMMYFUNCTION("""COMPUTED_VALUE"""),2023)</f>
        <v>2023</v>
      </c>
      <c r="Q1040" s="2" t="str">
        <f ca="1">IFERROR(__xludf.DUMMYFUNCTION("""COMPUTED_VALUE"""),"1265")</f>
        <v>1265</v>
      </c>
      <c r="R1040" s="2" t="str">
        <f ca="1">IFERROR(__xludf.DUMMYFUNCTION("""COMPUTED_VALUE"""),"11.007.0013.0392.0082.2164.33.90.36")</f>
        <v>11.007.0013.0392.0082.2164.33.90.36</v>
      </c>
      <c r="S1040" s="2" t="str">
        <f ca="1">IFERROR(__xludf.DUMMYFUNCTION("""COMPUTED_VALUE"""),"01053")</f>
        <v>01053</v>
      </c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</row>
    <row r="1041" spans="1:32" ht="15.75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>
        <f ca="1">IFERROR(__xludf.DUMMYFUNCTION("""COMPUTED_VALUE"""),2023)</f>
        <v>2023</v>
      </c>
      <c r="Q1041" s="2" t="str">
        <f ca="1">IFERROR(__xludf.DUMMYFUNCTION("""COMPUTED_VALUE"""),"1266")</f>
        <v>1266</v>
      </c>
      <c r="R1041" s="2" t="str">
        <f ca="1">IFERROR(__xludf.DUMMYFUNCTION("""COMPUTED_VALUE"""),"11.007.0013.0392.0082.2164.33.90.39")</f>
        <v>11.007.0013.0392.0082.2164.33.90.39</v>
      </c>
      <c r="S1041" s="2" t="str">
        <f ca="1">IFERROR(__xludf.DUMMYFUNCTION("""COMPUTED_VALUE"""),"01053")</f>
        <v>01053</v>
      </c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</row>
    <row r="1042" spans="1:32" ht="15.75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>
        <f ca="1">IFERROR(__xludf.DUMMYFUNCTION("""COMPUTED_VALUE"""),2023)</f>
        <v>2023</v>
      </c>
      <c r="Q1042" s="2" t="str">
        <f ca="1">IFERROR(__xludf.DUMMYFUNCTION("""COMPUTED_VALUE"""),"1267")</f>
        <v>1267</v>
      </c>
      <c r="R1042" s="2" t="str">
        <f ca="1">IFERROR(__xludf.DUMMYFUNCTION("""COMPUTED_VALUE"""),"08.003.0008.0244.0118.1013.44.90.52")</f>
        <v>08.003.0008.0244.0118.1013.44.90.52</v>
      </c>
      <c r="S1042" s="2" t="str">
        <f ca="1">IFERROR(__xludf.DUMMYFUNCTION("""COMPUTED_VALUE"""),"10186")</f>
        <v>10186</v>
      </c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</row>
    <row r="1043" spans="1:32" ht="15.75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>
        <f ca="1">IFERROR(__xludf.DUMMYFUNCTION("""COMPUTED_VALUE"""),2023)</f>
        <v>2023</v>
      </c>
      <c r="Q1043" s="2" t="str">
        <f ca="1">IFERROR(__xludf.DUMMYFUNCTION("""COMPUTED_VALUE"""),"1268")</f>
        <v>1268</v>
      </c>
      <c r="R1043" s="2" t="str">
        <f ca="1">IFERROR(__xludf.DUMMYFUNCTION("""COMPUTED_VALUE"""),"05.004.0012.0365.0074.6016.31.91.13")</f>
        <v>05.004.0012.0365.0074.6016.31.91.13</v>
      </c>
      <c r="S1043" s="2" t="str">
        <f ca="1">IFERROR(__xludf.DUMMYFUNCTION("""COMPUTED_VALUE"""),"00104")</f>
        <v>00104</v>
      </c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</row>
    <row r="1044" spans="1:32" ht="15.75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>
        <f ca="1">IFERROR(__xludf.DUMMYFUNCTION("""COMPUTED_VALUE"""),2023)</f>
        <v>2023</v>
      </c>
      <c r="Q1044" s="2" t="str">
        <f ca="1">IFERROR(__xludf.DUMMYFUNCTION("""COMPUTED_VALUE"""),"1269")</f>
        <v>1269</v>
      </c>
      <c r="R1044" s="2" t="str">
        <f ca="1">IFERROR(__xludf.DUMMYFUNCTION("""COMPUTED_VALUE"""),"05.004.0012.0365.0074.6016.31.90.11")</f>
        <v>05.004.0012.0365.0074.6016.31.90.11</v>
      </c>
      <c r="S1044" s="2" t="str">
        <f ca="1">IFERROR(__xludf.DUMMYFUNCTION("""COMPUTED_VALUE"""),"00104")</f>
        <v>00104</v>
      </c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</row>
    <row r="1045" spans="1:32" ht="15.75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>
        <f ca="1">IFERROR(__xludf.DUMMYFUNCTION("""COMPUTED_VALUE"""),2023)</f>
        <v>2023</v>
      </c>
      <c r="Q1045" s="2" t="str">
        <f ca="1">IFERROR(__xludf.DUMMYFUNCTION("""COMPUTED_VALUE"""),"1270")</f>
        <v>1270</v>
      </c>
      <c r="R1045" s="2" t="str">
        <f ca="1">IFERROR(__xludf.DUMMYFUNCTION("""COMPUTED_VALUE"""),"05.004.0012.0365.0074.6016.31.90.04")</f>
        <v>05.004.0012.0365.0074.6016.31.90.04</v>
      </c>
      <c r="S1045" s="2" t="str">
        <f ca="1">IFERROR(__xludf.DUMMYFUNCTION("""COMPUTED_VALUE"""),"00104")</f>
        <v>00104</v>
      </c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</row>
    <row r="1046" spans="1:32" ht="15.75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>
        <f ca="1">IFERROR(__xludf.DUMMYFUNCTION("""COMPUTED_VALUE"""),2023)</f>
        <v>2023</v>
      </c>
      <c r="Q1046" s="2" t="str">
        <f ca="1">IFERROR(__xludf.DUMMYFUNCTION("""COMPUTED_VALUE"""),"1271")</f>
        <v>1271</v>
      </c>
      <c r="R1046" s="2" t="str">
        <f ca="1">IFERROR(__xludf.DUMMYFUNCTION("""COMPUTED_VALUE"""),"05.004.0012.0365.0074.6016.31.90.13")</f>
        <v>05.004.0012.0365.0074.6016.31.90.13</v>
      </c>
      <c r="S1046" s="2" t="str">
        <f ca="1">IFERROR(__xludf.DUMMYFUNCTION("""COMPUTED_VALUE"""),"00104")</f>
        <v>00104</v>
      </c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</row>
    <row r="1047" spans="1:32" ht="15.75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>
        <f ca="1">IFERROR(__xludf.DUMMYFUNCTION("""COMPUTED_VALUE"""),2023)</f>
        <v>2023</v>
      </c>
      <c r="Q1047" s="2" t="str">
        <f ca="1">IFERROR(__xludf.DUMMYFUNCTION("""COMPUTED_VALUE"""),"1272")</f>
        <v>1272</v>
      </c>
      <c r="R1047" s="2" t="str">
        <f ca="1">IFERROR(__xludf.DUMMYFUNCTION("""COMPUTED_VALUE"""),"05.003.0012.0365.0074.5005.49.05.10")</f>
        <v>05.003.0012.0365.0074.5005.49.05.10</v>
      </c>
      <c r="S1047" s="2" t="str">
        <f ca="1">IFERROR(__xludf.DUMMYFUNCTION("""COMPUTED_VALUE"""),"00104")</f>
        <v>00104</v>
      </c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</row>
    <row r="1048" spans="1:32" ht="15.75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>
        <f ca="1">IFERROR(__xludf.DUMMYFUNCTION("""COMPUTED_VALUE"""),2023)</f>
        <v>2023</v>
      </c>
      <c r="Q1048" s="2" t="str">
        <f ca="1">IFERROR(__xludf.DUMMYFUNCTION("""COMPUTED_VALUE"""),"1273")</f>
        <v>1273</v>
      </c>
      <c r="R1048" s="2" t="str">
        <f ca="1">IFERROR(__xludf.DUMMYFUNCTION("""COMPUTED_VALUE"""),"11.007.0013.0392.0082.2164.39.04.80")</f>
        <v>11.007.0013.0392.0082.2164.39.04.80</v>
      </c>
      <c r="S1048" s="2" t="str">
        <f ca="1">IFERROR(__xludf.DUMMYFUNCTION("""COMPUTED_VALUE"""),"01053")</f>
        <v>01053</v>
      </c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</row>
    <row r="1049" spans="1:32" ht="15.75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>
        <f ca="1">IFERROR(__xludf.DUMMYFUNCTION("""COMPUTED_VALUE"""),2023)</f>
        <v>2023</v>
      </c>
      <c r="Q1049" s="2" t="str">
        <f ca="1">IFERROR(__xludf.DUMMYFUNCTION("""COMPUTED_VALUE"""),"1274")</f>
        <v>1274</v>
      </c>
      <c r="R1049" s="2" t="str">
        <f ca="1">IFERROR(__xludf.DUMMYFUNCTION("""COMPUTED_VALUE"""),"06.001.0010.0302.0094.2045.37.17.00")</f>
        <v>06.001.0010.0302.0094.2045.37.17.00</v>
      </c>
      <c r="S1049" s="2" t="str">
        <f ca="1">IFERROR(__xludf.DUMMYFUNCTION("""COMPUTED_VALUE"""),"00000")</f>
        <v>00000</v>
      </c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</row>
    <row r="1050" spans="1:32" ht="15.75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>
        <f ca="1">IFERROR(__xludf.DUMMYFUNCTION("""COMPUTED_VALUE"""),2023)</f>
        <v>2023</v>
      </c>
      <c r="Q1050" s="2" t="str">
        <f ca="1">IFERROR(__xludf.DUMMYFUNCTION("""COMPUTED_VALUE"""),"1275")</f>
        <v>1275</v>
      </c>
      <c r="R1050" s="2" t="str">
        <f ca="1">IFERROR(__xludf.DUMMYFUNCTION("""COMPUTED_VALUE"""),"18.004.0015.0452.0140.2145.39.03.90")</f>
        <v>18.004.0015.0452.0140.2145.39.03.90</v>
      </c>
      <c r="S1050" s="2" t="str">
        <f ca="1">IFERROR(__xludf.DUMMYFUNCTION("""COMPUTED_VALUE"""),"00515")</f>
        <v>00515</v>
      </c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</row>
    <row r="1051" spans="1:32" ht="15.75" customHeight="1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>
        <f ca="1">IFERROR(__xludf.DUMMYFUNCTION("""COMPUTED_VALUE"""),2023)</f>
        <v>2023</v>
      </c>
      <c r="Q1051" s="2" t="str">
        <f ca="1">IFERROR(__xludf.DUMMYFUNCTION("""COMPUTED_VALUE"""),"1276")</f>
        <v>1276</v>
      </c>
      <c r="R1051" s="2" t="str">
        <f ca="1">IFERROR(__xludf.DUMMYFUNCTION("""COMPUTED_VALUE"""),"18.004.0006.0182.0140.1074.44.90.52")</f>
        <v>18.004.0006.0182.0140.1074.44.90.52</v>
      </c>
      <c r="S1051" s="2" t="str">
        <f ca="1">IFERROR(__xludf.DUMMYFUNCTION("""COMPUTED_VALUE"""),"00611")</f>
        <v>00611</v>
      </c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</row>
    <row r="1052" spans="1:32" ht="15.75" customHeight="1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>
        <f ca="1">IFERROR(__xludf.DUMMYFUNCTION("""COMPUTED_VALUE"""),2023)</f>
        <v>2023</v>
      </c>
      <c r="Q1052" s="2" t="str">
        <f ca="1">IFERROR(__xludf.DUMMYFUNCTION("""COMPUTED_VALUE"""),"1278")</f>
        <v>1278</v>
      </c>
      <c r="R1052" s="2" t="str">
        <f ca="1">IFERROR(__xludf.DUMMYFUNCTION("""COMPUTED_VALUE"""),"05.003.0012.0365.0074.5002.44.90.52")</f>
        <v>05.003.0012.0365.0074.5002.44.90.52</v>
      </c>
      <c r="S1052" s="2" t="str">
        <f ca="1">IFERROR(__xludf.DUMMYFUNCTION("""COMPUTED_VALUE"""),"00104")</f>
        <v>00104</v>
      </c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</row>
    <row r="1053" spans="1:32" ht="15.75" customHeight="1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>
        <f ca="1">IFERROR(__xludf.DUMMYFUNCTION("""COMPUTED_VALUE"""),2023)</f>
        <v>2023</v>
      </c>
      <c r="Q1053" s="2" t="str">
        <f ca="1">IFERROR(__xludf.DUMMYFUNCTION("""COMPUTED_VALUE"""),"1279")</f>
        <v>1279</v>
      </c>
      <c r="R1053" s="2" t="str">
        <f ca="1">IFERROR(__xludf.DUMMYFUNCTION("""COMPUTED_VALUE"""),"05.001.0010.0301.0094.1082.44.90.61")</f>
        <v>05.001.0010.0301.0094.1082.44.90.61</v>
      </c>
      <c r="S1053" s="2" t="str">
        <f ca="1">IFERROR(__xludf.DUMMYFUNCTION("""COMPUTED_VALUE"""),"00000")</f>
        <v>00000</v>
      </c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</row>
    <row r="1054" spans="1:32" ht="15.75" customHeight="1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>
        <f ca="1">IFERROR(__xludf.DUMMYFUNCTION("""COMPUTED_VALUE"""),2023)</f>
        <v>2023</v>
      </c>
      <c r="Q1054" s="2" t="str">
        <f ca="1">IFERROR(__xludf.DUMMYFUNCTION("""COMPUTED_VALUE"""),"1280")</f>
        <v>1280</v>
      </c>
      <c r="R1054" s="2" t="str">
        <f ca="1">IFERROR(__xludf.DUMMYFUNCTION("""COMPUTED_VALUE"""),"12.001.0004.0122.0113.2129.44.90.52")</f>
        <v>12.001.0004.0122.0113.2129.44.90.52</v>
      </c>
      <c r="S1054" s="2" t="str">
        <f ca="1">IFERROR(__xludf.DUMMYFUNCTION("""COMPUTED_VALUE"""),"10162")</f>
        <v>10162</v>
      </c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</row>
    <row r="1055" spans="1:32" ht="15.75" customHeight="1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</row>
    <row r="1056" spans="1:32" ht="15.75" customHeight="1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</row>
    <row r="1057" spans="1:32" ht="15.75" customHeight="1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</row>
    <row r="1058" spans="1:32" ht="15.75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</row>
    <row r="1059" spans="1:32" ht="15.75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</row>
    <row r="1060" spans="1:32" ht="15.75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</row>
    <row r="1061" spans="1:32" ht="15.75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</row>
    <row r="1062" spans="1:32" ht="15.75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</row>
    <row r="1063" spans="1:32" ht="15.75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</row>
    <row r="1064" spans="1:32" ht="15.75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</row>
    <row r="1065" spans="1:32" ht="15.75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</row>
    <row r="1066" spans="1:32" ht="15.75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</row>
    <row r="1067" spans="1:32" ht="15.75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</row>
    <row r="1068" spans="1:32" ht="15.75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</row>
    <row r="1069" spans="1:32" ht="15.75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</row>
    <row r="1070" spans="1:32" ht="15.75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</row>
    <row r="1071" spans="1:32" ht="15.75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</row>
    <row r="1072" spans="1:32" ht="15.75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</row>
    <row r="1073" spans="1:32" ht="15.75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</row>
    <row r="1074" spans="1:32" ht="15.75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</row>
    <row r="1075" spans="1:32" ht="15.75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</row>
    <row r="1076" spans="1:32" ht="15.75" customHeight="1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</row>
    <row r="1077" spans="1:32" ht="15.75" customHeight="1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</row>
    <row r="1078" spans="1:32" ht="15.75" customHeight="1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</row>
    <row r="1079" spans="1:32" ht="15.75" customHeight="1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</row>
    <row r="1080" spans="1:32" ht="15.75" customHeight="1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</row>
    <row r="1081" spans="1:32" ht="15.75" customHeight="1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</row>
    <row r="1082" spans="1:32" ht="15.75" customHeight="1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</row>
    <row r="1083" spans="1:32" ht="15.75" customHeight="1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</row>
    <row r="1084" spans="1:32" ht="15.75" customHeight="1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</row>
    <row r="1085" spans="1:32" ht="15.75" customHeight="1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</row>
    <row r="1086" spans="1:32" ht="15.75" customHeight="1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</row>
    <row r="1087" spans="1:32" ht="15.75" customHeight="1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</row>
    <row r="1088" spans="1:32" ht="15.75" customHeight="1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</row>
    <row r="1089" spans="1:32" ht="15.75" customHeight="1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</row>
    <row r="1090" spans="1:32" ht="15.75" customHeight="1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</row>
    <row r="1091" spans="1:32" ht="15.75" customHeight="1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</row>
    <row r="1092" spans="1:32" ht="15.75" customHeight="1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</row>
    <row r="1093" spans="1:32" ht="15.75" customHeight="1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</row>
    <row r="1094" spans="1:32" ht="15.75" customHeight="1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</row>
    <row r="1095" spans="1:32" ht="15.75" customHeight="1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</row>
    <row r="1096" spans="1:32" ht="15.75" customHeight="1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</row>
    <row r="1097" spans="1:32" ht="15.75" customHeight="1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</row>
    <row r="1098" spans="1:32" ht="15.75" customHeight="1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</row>
    <row r="1099" spans="1:32" ht="15.75" customHeight="1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</row>
    <row r="1100" spans="1:32" ht="15.75" customHeight="1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</row>
    <row r="1101" spans="1:32" ht="15.75" customHeight="1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</row>
    <row r="1102" spans="1:32" ht="15.75" customHeight="1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</row>
    <row r="1103" spans="1:32" ht="15.75" customHeight="1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</row>
    <row r="1104" spans="1:32" ht="15.75" customHeight="1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</row>
    <row r="1105" spans="1:32" ht="15.75" customHeight="1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</row>
    <row r="1106" spans="1:32" ht="15.75" customHeight="1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</row>
    <row r="1107" spans="1:32" ht="15.75" customHeight="1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</row>
    <row r="1108" spans="1:32" ht="15.75" customHeight="1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</row>
    <row r="1109" spans="1:32" ht="15.75" customHeight="1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</row>
    <row r="1110" spans="1:32" ht="15.75" customHeight="1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</row>
    <row r="1111" spans="1:32" ht="15.75" customHeight="1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</row>
    <row r="1112" spans="1:32" ht="15.75" customHeight="1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</row>
    <row r="1113" spans="1:32" ht="15.75" customHeight="1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</row>
    <row r="1114" spans="1:32" ht="15.75" customHeight="1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</row>
    <row r="1115" spans="1:32" ht="15.75" customHeight="1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</row>
    <row r="1116" spans="1:32" ht="15.75" customHeight="1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</row>
    <row r="1117" spans="1:32" ht="15.75" customHeight="1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</row>
    <row r="1118" spans="1:32" ht="15.75" customHeight="1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</row>
    <row r="1119" spans="1:32" ht="15.75" customHeight="1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</row>
    <row r="1120" spans="1:32" ht="15.75" customHeight="1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</row>
    <row r="1121" spans="1:32" ht="15.75" customHeight="1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</row>
    <row r="1122" spans="1:32" ht="15.75" customHeight="1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</row>
    <row r="1123" spans="1:32" ht="15.75" customHeight="1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</row>
    <row r="1124" spans="1:32" ht="15.75" customHeight="1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</row>
    <row r="1125" spans="1:32" ht="15.75" customHeight="1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</row>
    <row r="1126" spans="1:32" ht="15.75" customHeight="1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</row>
    <row r="1127" spans="1:32" ht="15.75" customHeight="1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</row>
    <row r="1128" spans="1:32" ht="15.75" customHeight="1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</row>
    <row r="1129" spans="1:32" ht="15.75" customHeight="1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</row>
    <row r="1130" spans="1:32" ht="15.75" customHeight="1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</row>
    <row r="1131" spans="1:32" ht="15.75" customHeight="1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</row>
    <row r="1132" spans="1:32" ht="15.75" customHeight="1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</row>
    <row r="1133" spans="1:32" ht="15.75" customHeight="1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</row>
    <row r="1134" spans="1:32" ht="15.75" customHeight="1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</row>
    <row r="1135" spans="1:32" ht="15.75" customHeight="1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</row>
    <row r="1136" spans="1:32" ht="15.75" customHeight="1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</row>
    <row r="1137" spans="1:32" ht="15.75" customHeight="1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</row>
    <row r="1138" spans="1:32" ht="15.75" customHeight="1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</row>
    <row r="1139" spans="1:32" ht="15.75" customHeight="1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</row>
    <row r="1140" spans="1:32" ht="15.75" customHeight="1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</row>
    <row r="1141" spans="1:32" ht="15.75" customHeight="1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</row>
    <row r="1142" spans="1:32" ht="15.75" customHeight="1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</row>
    <row r="1143" spans="1:32" ht="15.75" customHeight="1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</row>
    <row r="1144" spans="1:32" ht="15.75" customHeight="1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</row>
    <row r="1145" spans="1:32" ht="15.75" customHeight="1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</row>
    <row r="1146" spans="1:32" ht="15.75" customHeight="1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</row>
    <row r="1147" spans="1:32" ht="15.75" customHeight="1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</row>
    <row r="1148" spans="1:32" ht="15.75" customHeight="1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</row>
    <row r="1149" spans="1:32" ht="15.75" customHeight="1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</row>
    <row r="1150" spans="1:32" ht="15.75" customHeight="1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</row>
    <row r="1151" spans="1:32" ht="15.75" customHeight="1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</row>
    <row r="1152" spans="1:32" ht="15.75" customHeight="1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</row>
    <row r="1153" spans="1:32" ht="15.75" customHeight="1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</row>
    <row r="1154" spans="1:32" ht="15.75" customHeight="1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</row>
    <row r="1155" spans="1:32" ht="15.75" customHeight="1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</row>
    <row r="1156" spans="1:32" ht="15.75" customHeight="1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</row>
    <row r="1157" spans="1:32" ht="15.75" customHeight="1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</row>
    <row r="1158" spans="1:32" ht="15.75" customHeight="1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</row>
    <row r="1159" spans="1:32" ht="15.75" customHeight="1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</row>
    <row r="1160" spans="1:32" ht="15.75" customHeight="1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</row>
    <row r="1161" spans="1:32" ht="15.75" customHeight="1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</row>
    <row r="1162" spans="1:32" ht="15.75" customHeight="1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</row>
    <row r="1163" spans="1:32" ht="15.75" customHeight="1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</row>
    <row r="1164" spans="1:32" ht="15.75" customHeight="1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</row>
    <row r="1165" spans="1:32" ht="15.75" customHeight="1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</row>
    <row r="1166" spans="1:32" ht="15.75" customHeight="1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</row>
    <row r="1167" spans="1:32" ht="15.75" customHeight="1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</row>
    <row r="1168" spans="1:32" ht="15.75" customHeight="1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</row>
    <row r="1169" spans="1:32" ht="15.75" customHeight="1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</row>
    <row r="1170" spans="1:32" ht="15.75" customHeight="1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</row>
    <row r="1171" spans="1:32" ht="15.75" customHeight="1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</row>
    <row r="1172" spans="1:32" ht="15.75" customHeight="1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</row>
    <row r="1173" spans="1:32" ht="15.75" customHeight="1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</row>
    <row r="1174" spans="1:32" ht="15.75" customHeight="1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</row>
    <row r="1175" spans="1:32" ht="15.75" customHeight="1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</row>
    <row r="1176" spans="1:32" ht="15.75" customHeight="1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</row>
    <row r="1177" spans="1:32" ht="15.75" customHeight="1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</row>
    <row r="1178" spans="1:32" ht="15.75" customHeight="1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</row>
    <row r="1179" spans="1:32" ht="15.75" customHeight="1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</row>
    <row r="1180" spans="1:32" ht="15.75" customHeight="1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</row>
    <row r="1181" spans="1:32" ht="15.75" customHeight="1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</row>
    <row r="1182" spans="1:32" ht="15.75" customHeight="1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</row>
    <row r="1183" spans="1:32" ht="15.75" customHeight="1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</row>
    <row r="1184" spans="1:32" ht="15.75" customHeight="1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</row>
    <row r="1185" spans="1:32" ht="15.75" customHeight="1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</row>
    <row r="1186" spans="1:32" ht="15.75" customHeight="1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</row>
    <row r="1187" spans="1:32" ht="15.75" customHeight="1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</row>
    <row r="1188" spans="1:32" ht="15.75" customHeight="1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</row>
    <row r="1189" spans="1:32" ht="15.75" customHeight="1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</row>
    <row r="1190" spans="1:32" ht="15.75" customHeight="1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</row>
    <row r="1191" spans="1:32" ht="15.75" customHeight="1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</row>
    <row r="1192" spans="1:32" ht="15.75" customHeight="1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</row>
    <row r="1193" spans="1:32" ht="15.75" customHeight="1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</row>
    <row r="1194" spans="1:32" ht="15.75" customHeight="1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</row>
    <row r="1195" spans="1:32" ht="15.75" customHeight="1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</row>
    <row r="1196" spans="1:32" ht="15.75" customHeight="1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</row>
    <row r="1197" spans="1:32" ht="15.75" customHeight="1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</row>
    <row r="1198" spans="1:32" ht="15.75" customHeight="1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</row>
    <row r="1199" spans="1:32" ht="15.75" customHeight="1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</row>
    <row r="1200" spans="1:32" ht="15.75" customHeight="1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</row>
    <row r="1201" spans="1:32" ht="15.75" customHeight="1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</row>
    <row r="1202" spans="1:32" ht="15.75" customHeight="1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</row>
    <row r="1203" spans="1:32" ht="15.75" customHeight="1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</row>
    <row r="1204" spans="1:32" ht="15.75" customHeight="1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</row>
    <row r="1205" spans="1:32" ht="15.75" customHeight="1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</row>
    <row r="1206" spans="1:32" ht="15.75" customHeight="1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</row>
    <row r="1207" spans="1:32" ht="15.75" customHeight="1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</row>
    <row r="1208" spans="1:32" ht="15.75" customHeight="1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</row>
    <row r="1209" spans="1:32" ht="15.75" customHeight="1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</row>
    <row r="1210" spans="1:32" ht="15.75" customHeight="1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</row>
    <row r="1211" spans="1:32" ht="15.75" customHeight="1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</row>
    <row r="1212" spans="1:32" ht="15.75" customHeight="1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</row>
    <row r="1213" spans="1:32" ht="15.75" customHeight="1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</row>
    <row r="1214" spans="1:32" ht="15.75" customHeight="1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</row>
    <row r="1215" spans="1:32" ht="15.75" customHeight="1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</row>
    <row r="1216" spans="1:32" ht="15.75" customHeight="1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</row>
    <row r="1217" spans="1:32" ht="15.75" customHeight="1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</row>
    <row r="1218" spans="1:32" ht="15.75" customHeight="1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</row>
    <row r="1219" spans="1:32" ht="15.75" customHeight="1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</row>
    <row r="1220" spans="1:32" ht="15.75" customHeight="1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</row>
    <row r="1221" spans="1:32" ht="15.75" customHeight="1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</row>
    <row r="1222" spans="1:32" ht="15.75" customHeight="1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</row>
    <row r="1223" spans="1:32" ht="15.75" customHeight="1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</row>
    <row r="1224" spans="1:32" ht="15.75" customHeight="1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</row>
    <row r="1225" spans="1:32" ht="15.75" customHeight="1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</row>
    <row r="1226" spans="1:32" ht="15.75" customHeight="1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</row>
    <row r="1227" spans="1:32" ht="15.75" customHeight="1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</row>
    <row r="1228" spans="1:32" ht="15.75" customHeight="1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</row>
    <row r="1229" spans="1:32" ht="15.75" customHeight="1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</row>
    <row r="1230" spans="1:32" ht="15.75" customHeight="1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</row>
    <row r="1231" spans="1:32" ht="15.75" customHeight="1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</row>
    <row r="1232" spans="1:32" ht="15.75" customHeight="1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</row>
    <row r="1233" spans="1:32" ht="15.75" customHeight="1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</row>
    <row r="1234" spans="1:32" ht="15.75" customHeight="1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</row>
    <row r="1235" spans="1:32" ht="15.75" customHeight="1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</row>
    <row r="1236" spans="1:32" ht="15.75" customHeight="1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</row>
    <row r="1237" spans="1:32" ht="15.75" customHeight="1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</row>
    <row r="1238" spans="1:32" ht="15.75" customHeight="1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</row>
    <row r="1239" spans="1:32" ht="15.75" customHeight="1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</row>
    <row r="1240" spans="1:32" ht="15.75" customHeight="1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</row>
    <row r="1241" spans="1:32" ht="15.75" customHeight="1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</row>
    <row r="1242" spans="1:32" ht="15.75" customHeight="1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</row>
    <row r="1243" spans="1:32" ht="15.75" customHeight="1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</row>
    <row r="1244" spans="1:32" ht="15.75" customHeight="1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</row>
    <row r="1245" spans="1:32" ht="15.75" customHeight="1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</row>
    <row r="1246" spans="1:32" ht="15.75" customHeight="1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</row>
    <row r="1247" spans="1:32" ht="15.75" customHeight="1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</row>
    <row r="1248" spans="1:32" ht="15.75" customHeight="1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</row>
    <row r="1249" spans="1:32" ht="15.75" customHeight="1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</row>
    <row r="1250" spans="1:32" ht="15.75" customHeight="1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</row>
    <row r="1251" spans="1:32" ht="15.75" customHeight="1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</row>
    <row r="1252" spans="1:32" ht="15.75" customHeight="1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</row>
    <row r="1253" spans="1:32" ht="15.75" customHeight="1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</row>
    <row r="1254" spans="1:32" ht="15.75" customHeight="1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</row>
  </sheetData>
  <autoFilter ref="C15:K15">
    <sortState ref="C15:K46">
      <sortCondition ref="E15:E46"/>
      <sortCondition ref="C15:C46"/>
    </sortState>
  </autoFilter>
  <mergeCells count="8">
    <mergeCell ref="C35:I35"/>
    <mergeCell ref="C36:I36"/>
    <mergeCell ref="C37:I37"/>
    <mergeCell ref="C3:J3"/>
    <mergeCell ref="C4:J4"/>
    <mergeCell ref="C6:E6"/>
    <mergeCell ref="C10:K12"/>
    <mergeCell ref="C34:I34"/>
  </mergeCells>
  <dataValidations count="4">
    <dataValidation type="list" allowBlank="1" showErrorMessage="1" sqref="F6">
      <formula1>"Contrato,Ata R.P"</formula1>
    </dataValidation>
    <dataValidation type="list" allowBlank="1" showErrorMessage="1" sqref="I16:I32">
      <formula1>"Municipal,Estadual,Federal"</formula1>
    </dataValidation>
    <dataValidation type="list" allowBlank="1" sqref="C16:C32">
      <formula1>"2023,2024,2025,2026"</formula1>
    </dataValidation>
    <dataValidation type="list" allowBlank="1" sqref="D16:D33">
      <formula1>$U:$U</formula1>
    </dataValidation>
  </dataValidations>
  <pageMargins left="0.511811024" right="0.511811024" top="0.78740157499999996" bottom="0.78740157499999996" header="0" footer="0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'BD2(NÃO MEXER)'!$A:$A</xm:f>
          </x14:formula1>
          <xm:sqref>F16:F32</xm:sqref>
        </x14:dataValidation>
        <x14:dataValidation type="list" allowBlank="1" showErrorMessage="1">
          <x14:formula1>
            <xm:f>'BD2(NÃO MEXER)'!$B:$B</xm:f>
          </x14:formula1>
          <xm:sqref>G16:G32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cols>
    <col min="1" max="6" width="14.42578125" customWidth="1"/>
  </cols>
  <sheetData>
    <row r="1" spans="1:2">
      <c r="A1" s="33" t="s">
        <v>27</v>
      </c>
      <c r="B1" s="33" t="s">
        <v>28</v>
      </c>
    </row>
    <row r="2" spans="1:2">
      <c r="A2" s="33" t="s">
        <v>29</v>
      </c>
      <c r="B2" s="33" t="s">
        <v>30</v>
      </c>
    </row>
    <row r="3" spans="1:2">
      <c r="A3" s="33" t="s">
        <v>31</v>
      </c>
      <c r="B3" s="33" t="s">
        <v>32</v>
      </c>
    </row>
    <row r="4" spans="1:2">
      <c r="A4" s="33" t="s">
        <v>19</v>
      </c>
      <c r="B4" s="33" t="s">
        <v>33</v>
      </c>
    </row>
    <row r="5" spans="1:2">
      <c r="A5" s="33" t="s">
        <v>34</v>
      </c>
      <c r="B5" s="33" t="s">
        <v>35</v>
      </c>
    </row>
    <row r="6" spans="1:2">
      <c r="A6" s="33" t="s">
        <v>36</v>
      </c>
      <c r="B6" s="33" t="s">
        <v>37</v>
      </c>
    </row>
    <row r="7" spans="1:2">
      <c r="A7" s="33" t="s">
        <v>38</v>
      </c>
      <c r="B7" s="33" t="s">
        <v>39</v>
      </c>
    </row>
    <row r="8" spans="1:2">
      <c r="A8" s="33" t="s">
        <v>40</v>
      </c>
      <c r="B8" s="33" t="s">
        <v>41</v>
      </c>
    </row>
    <row r="9" spans="1:2">
      <c r="A9" s="33" t="s">
        <v>42</v>
      </c>
      <c r="B9" s="33" t="s">
        <v>43</v>
      </c>
    </row>
    <row r="10" spans="1:2">
      <c r="A10" s="33" t="s">
        <v>44</v>
      </c>
      <c r="B10" s="33" t="s">
        <v>45</v>
      </c>
    </row>
    <row r="11" spans="1:2">
      <c r="A11" s="33" t="s">
        <v>46</v>
      </c>
      <c r="B11" s="33" t="s">
        <v>47</v>
      </c>
    </row>
    <row r="12" spans="1:2">
      <c r="A12" s="33" t="s">
        <v>48</v>
      </c>
      <c r="B12" s="33" t="s">
        <v>49</v>
      </c>
    </row>
    <row r="13" spans="1:2">
      <c r="A13" s="33" t="s">
        <v>50</v>
      </c>
      <c r="B13" s="33" t="s">
        <v>51</v>
      </c>
    </row>
    <row r="14" spans="1:2">
      <c r="A14" s="33" t="s">
        <v>52</v>
      </c>
      <c r="B14" s="33" t="s">
        <v>53</v>
      </c>
    </row>
    <row r="15" spans="1:2">
      <c r="A15" s="33" t="s">
        <v>54</v>
      </c>
      <c r="B15" s="33" t="s">
        <v>55</v>
      </c>
    </row>
    <row r="16" spans="1:2">
      <c r="A16" s="33" t="s">
        <v>15</v>
      </c>
      <c r="B16" s="33" t="s">
        <v>56</v>
      </c>
    </row>
    <row r="17" spans="1:2">
      <c r="A17" s="33" t="s">
        <v>57</v>
      </c>
      <c r="B17" s="33" t="s">
        <v>58</v>
      </c>
    </row>
    <row r="18" spans="1:2">
      <c r="A18" s="33" t="s">
        <v>59</v>
      </c>
      <c r="B18" s="33" t="s">
        <v>60</v>
      </c>
    </row>
    <row r="19" spans="1:2">
      <c r="A19" s="33"/>
      <c r="B19" s="33"/>
    </row>
    <row r="20" spans="1:2">
      <c r="A20" s="33"/>
      <c r="B20" s="33"/>
    </row>
    <row r="21" spans="1:2" ht="15.75" customHeight="1">
      <c r="A21" s="33"/>
      <c r="B21" s="33"/>
    </row>
    <row r="22" spans="1:2" ht="15.75" customHeight="1">
      <c r="A22" s="33"/>
      <c r="B22" s="33"/>
    </row>
    <row r="23" spans="1:2" ht="15.75" customHeight="1">
      <c r="A23" s="33"/>
      <c r="B23" s="33"/>
    </row>
    <row r="24" spans="1:2" ht="15.75" customHeight="1">
      <c r="A24" s="33"/>
      <c r="B24" s="33"/>
    </row>
    <row r="25" spans="1:2" ht="15.75" customHeight="1">
      <c r="A25" s="33"/>
      <c r="B25" s="33"/>
    </row>
    <row r="26" spans="1:2" ht="15.75" customHeight="1">
      <c r="A26" s="33"/>
      <c r="B26" s="33"/>
    </row>
    <row r="27" spans="1:2" ht="15.75" customHeight="1">
      <c r="A27" s="33"/>
      <c r="B27" s="33"/>
    </row>
    <row r="28" spans="1:2" ht="15.75" customHeight="1">
      <c r="A28" s="33"/>
      <c r="B28" s="33"/>
    </row>
    <row r="29" spans="1:2" ht="15.75" customHeight="1">
      <c r="A29" s="33"/>
      <c r="B29" s="33"/>
    </row>
    <row r="30" spans="1:2" ht="15.75" customHeight="1">
      <c r="A30" s="33"/>
      <c r="B30" s="33"/>
    </row>
    <row r="31" spans="1:2" ht="15.75" customHeight="1">
      <c r="A31" s="33"/>
      <c r="B31" s="33"/>
    </row>
    <row r="32" spans="1:2" ht="15.75" customHeight="1">
      <c r="A32" s="33"/>
      <c r="B32" s="33"/>
    </row>
    <row r="33" spans="1:2" ht="15.75" customHeight="1">
      <c r="A33" s="33"/>
      <c r="B33" s="33"/>
    </row>
    <row r="34" spans="1:2" ht="15.75" customHeight="1">
      <c r="A34" s="33"/>
      <c r="B34" s="33"/>
    </row>
    <row r="35" spans="1:2" ht="15.75" customHeight="1">
      <c r="A35" s="33"/>
      <c r="B35" s="33"/>
    </row>
    <row r="36" spans="1:2" ht="15.75" customHeight="1">
      <c r="A36" s="33"/>
      <c r="B36" s="33"/>
    </row>
    <row r="37" spans="1:2" ht="15.75" customHeight="1">
      <c r="A37" s="33"/>
      <c r="B37" s="33"/>
    </row>
    <row r="38" spans="1:2" ht="15.75" customHeight="1">
      <c r="A38" s="33"/>
      <c r="B38" s="33"/>
    </row>
    <row r="39" spans="1:2" ht="15.75" customHeight="1">
      <c r="A39" s="33"/>
      <c r="B39" s="33"/>
    </row>
    <row r="40" spans="1:2" ht="15.75" customHeight="1">
      <c r="A40" s="33"/>
      <c r="B40" s="33"/>
    </row>
    <row r="41" spans="1:2" ht="15.75" customHeight="1">
      <c r="A41" s="33"/>
      <c r="B41" s="33"/>
    </row>
    <row r="42" spans="1:2" ht="15.75" customHeight="1">
      <c r="A42" s="33"/>
      <c r="B42" s="33"/>
    </row>
    <row r="43" spans="1:2" ht="15.75" customHeight="1">
      <c r="A43" s="33"/>
      <c r="B43" s="33"/>
    </row>
    <row r="44" spans="1:2" ht="15.75" customHeight="1">
      <c r="A44" s="33"/>
      <c r="B44" s="33"/>
    </row>
    <row r="45" spans="1:2" ht="15.75" customHeight="1">
      <c r="A45" s="33"/>
      <c r="B45" s="33"/>
    </row>
    <row r="46" spans="1:2" ht="15.75" customHeight="1">
      <c r="A46" s="33"/>
      <c r="B46" s="33"/>
    </row>
    <row r="47" spans="1:2" ht="15.75" customHeight="1">
      <c r="A47" s="33"/>
      <c r="B47" s="33"/>
    </row>
    <row r="48" spans="1:2" ht="15.75" customHeight="1">
      <c r="A48" s="33"/>
      <c r="B48" s="33"/>
    </row>
    <row r="49" spans="1:2" ht="15.75" customHeight="1">
      <c r="A49" s="33"/>
      <c r="B49" s="33"/>
    </row>
    <row r="50" spans="1:2" ht="15.75" customHeight="1">
      <c r="A50" s="33"/>
      <c r="B50" s="33"/>
    </row>
    <row r="51" spans="1:2" ht="15.75" customHeight="1">
      <c r="A51" s="33"/>
      <c r="B51" s="33"/>
    </row>
    <row r="52" spans="1:2" ht="15.75" customHeight="1">
      <c r="A52" s="33"/>
      <c r="B52" s="33"/>
    </row>
    <row r="53" spans="1:2" ht="15.75" customHeight="1">
      <c r="A53" s="33"/>
      <c r="B53" s="33"/>
    </row>
    <row r="54" spans="1:2" ht="15.75" customHeight="1">
      <c r="A54" s="33"/>
      <c r="B54" s="33"/>
    </row>
    <row r="55" spans="1:2" ht="15.75" customHeight="1">
      <c r="A55" s="33"/>
      <c r="B55" s="33"/>
    </row>
    <row r="56" spans="1:2" ht="15.75" customHeight="1">
      <c r="A56" s="33"/>
      <c r="B56" s="33"/>
    </row>
    <row r="57" spans="1:2" ht="15.75" customHeight="1">
      <c r="A57" s="33"/>
      <c r="B57" s="33"/>
    </row>
    <row r="58" spans="1:2" ht="15.75" customHeight="1">
      <c r="A58" s="33"/>
      <c r="B58" s="33"/>
    </row>
    <row r="59" spans="1:2" ht="15.75" customHeight="1">
      <c r="A59" s="33"/>
      <c r="B59" s="33"/>
    </row>
    <row r="60" spans="1:2" ht="15.75" customHeight="1">
      <c r="A60" s="33"/>
      <c r="B60" s="33"/>
    </row>
    <row r="61" spans="1:2" ht="15.75" customHeight="1">
      <c r="A61" s="33"/>
      <c r="B61" s="33"/>
    </row>
    <row r="62" spans="1:2" ht="15.75" customHeight="1">
      <c r="A62" s="33"/>
      <c r="B62" s="33"/>
    </row>
    <row r="63" spans="1:2" ht="15.75" customHeight="1">
      <c r="A63" s="33"/>
      <c r="B63" s="33"/>
    </row>
    <row r="64" spans="1:2" ht="15.75" customHeight="1">
      <c r="A64" s="33"/>
      <c r="B64" s="33"/>
    </row>
    <row r="65" spans="1:2" ht="15.75" customHeight="1">
      <c r="A65" s="33"/>
      <c r="B65" s="33"/>
    </row>
    <row r="66" spans="1:2" ht="15.75" customHeight="1">
      <c r="A66" s="33"/>
      <c r="B66" s="33"/>
    </row>
    <row r="67" spans="1:2" ht="15.75" customHeight="1">
      <c r="A67" s="33"/>
      <c r="B67" s="33"/>
    </row>
    <row r="68" spans="1:2" ht="15.75" customHeight="1">
      <c r="A68" s="33"/>
      <c r="B68" s="33"/>
    </row>
    <row r="69" spans="1:2" ht="15.75" customHeight="1">
      <c r="A69" s="33"/>
      <c r="B69" s="33"/>
    </row>
    <row r="70" spans="1:2" ht="15.75" customHeight="1">
      <c r="A70" s="33"/>
      <c r="B70" s="33"/>
    </row>
    <row r="71" spans="1:2" ht="15.75" customHeight="1">
      <c r="A71" s="33"/>
      <c r="B71" s="33"/>
    </row>
    <row r="72" spans="1:2" ht="15.75" customHeight="1">
      <c r="A72" s="33"/>
      <c r="B72" s="33"/>
    </row>
    <row r="73" spans="1:2" ht="15.75" customHeight="1">
      <c r="A73" s="33"/>
      <c r="B73" s="33"/>
    </row>
    <row r="74" spans="1:2" ht="15.75" customHeight="1">
      <c r="A74" s="33"/>
      <c r="B74" s="33"/>
    </row>
    <row r="75" spans="1:2" ht="15.75" customHeight="1">
      <c r="A75" s="33"/>
      <c r="B75" s="33"/>
    </row>
    <row r="76" spans="1:2" ht="15.75" customHeight="1">
      <c r="A76" s="33"/>
      <c r="B76" s="33"/>
    </row>
    <row r="77" spans="1:2" ht="15.75" customHeight="1">
      <c r="A77" s="33"/>
      <c r="B77" s="33"/>
    </row>
    <row r="78" spans="1:2" ht="15.75" customHeight="1">
      <c r="A78" s="33"/>
      <c r="B78" s="33"/>
    </row>
    <row r="79" spans="1:2" ht="15.75" customHeight="1">
      <c r="A79" s="33"/>
      <c r="B79" s="33"/>
    </row>
    <row r="80" spans="1:2" ht="15.75" customHeight="1">
      <c r="A80" s="33"/>
      <c r="B80" s="33"/>
    </row>
    <row r="81" spans="1:2" ht="15.75" customHeight="1">
      <c r="A81" s="33"/>
      <c r="B81" s="33"/>
    </row>
    <row r="82" spans="1:2" ht="15.75" customHeight="1">
      <c r="A82" s="33"/>
      <c r="B82" s="33"/>
    </row>
    <row r="83" spans="1:2" ht="15.75" customHeight="1">
      <c r="A83" s="33"/>
      <c r="B83" s="33"/>
    </row>
    <row r="84" spans="1:2" ht="15.75" customHeight="1">
      <c r="A84" s="33"/>
      <c r="B84" s="33"/>
    </row>
    <row r="85" spans="1:2" ht="15.75" customHeight="1">
      <c r="A85" s="33"/>
      <c r="B85" s="33"/>
    </row>
    <row r="86" spans="1:2" ht="15.75" customHeight="1">
      <c r="A86" s="33"/>
      <c r="B86" s="33"/>
    </row>
    <row r="87" spans="1:2" ht="15.75" customHeight="1">
      <c r="A87" s="33"/>
      <c r="B87" s="33"/>
    </row>
    <row r="88" spans="1:2" ht="15.75" customHeight="1">
      <c r="A88" s="33"/>
      <c r="B88" s="33"/>
    </row>
    <row r="89" spans="1:2" ht="15.75" customHeight="1">
      <c r="A89" s="33"/>
      <c r="B89" s="33"/>
    </row>
    <row r="90" spans="1:2" ht="15.75" customHeight="1">
      <c r="A90" s="33"/>
      <c r="B90" s="33"/>
    </row>
    <row r="91" spans="1:2" ht="15.75" customHeight="1">
      <c r="A91" s="33"/>
      <c r="B91" s="33"/>
    </row>
    <row r="92" spans="1:2" ht="15.75" customHeight="1">
      <c r="A92" s="33"/>
      <c r="B92" s="33"/>
    </row>
    <row r="93" spans="1:2" ht="15.75" customHeight="1">
      <c r="A93" s="33"/>
      <c r="B93" s="33"/>
    </row>
    <row r="94" spans="1:2" ht="15.75" customHeight="1">
      <c r="A94" s="33"/>
      <c r="B94" s="33"/>
    </row>
    <row r="95" spans="1:2" ht="15.75" customHeight="1">
      <c r="A95" s="33"/>
      <c r="B95" s="33"/>
    </row>
    <row r="96" spans="1:2" ht="15.75" customHeight="1">
      <c r="A96" s="33"/>
      <c r="B96" s="33"/>
    </row>
    <row r="97" spans="1:2" ht="15.75" customHeight="1">
      <c r="A97" s="33"/>
      <c r="B97" s="33"/>
    </row>
    <row r="98" spans="1:2" ht="15.75" customHeight="1">
      <c r="A98" s="33"/>
      <c r="B98" s="33"/>
    </row>
    <row r="99" spans="1:2" ht="15.75" customHeight="1">
      <c r="A99" s="33"/>
      <c r="B99" s="33"/>
    </row>
    <row r="100" spans="1:2" ht="15.75" customHeight="1">
      <c r="A100" s="33"/>
      <c r="B100" s="33"/>
    </row>
    <row r="101" spans="1:2" ht="15.75" customHeight="1">
      <c r="A101" s="33"/>
      <c r="B101" s="33"/>
    </row>
    <row r="102" spans="1:2" ht="15.75" customHeight="1">
      <c r="A102" s="33"/>
      <c r="B102" s="33"/>
    </row>
    <row r="103" spans="1:2" ht="15.75" customHeight="1">
      <c r="A103" s="33"/>
      <c r="B103" s="33"/>
    </row>
    <row r="104" spans="1:2" ht="15.75" customHeight="1">
      <c r="A104" s="33"/>
      <c r="B104" s="33"/>
    </row>
    <row r="105" spans="1:2" ht="15.75" customHeight="1">
      <c r="A105" s="33"/>
      <c r="B105" s="33"/>
    </row>
    <row r="106" spans="1:2" ht="15.75" customHeight="1">
      <c r="A106" s="33"/>
      <c r="B106" s="33"/>
    </row>
    <row r="107" spans="1:2" ht="15.75" customHeight="1">
      <c r="A107" s="33"/>
      <c r="B107" s="33"/>
    </row>
    <row r="108" spans="1:2" ht="15.75" customHeight="1">
      <c r="A108" s="33"/>
      <c r="B108" s="33"/>
    </row>
    <row r="109" spans="1:2" ht="15.75" customHeight="1">
      <c r="A109" s="33"/>
      <c r="B109" s="33"/>
    </row>
    <row r="110" spans="1:2" ht="15.75" customHeight="1">
      <c r="A110" s="33"/>
      <c r="B110" s="33"/>
    </row>
    <row r="111" spans="1:2" ht="15.75" customHeight="1">
      <c r="A111" s="33"/>
      <c r="B111" s="33"/>
    </row>
    <row r="112" spans="1:2" ht="15.75" customHeight="1">
      <c r="A112" s="33"/>
      <c r="B112" s="33"/>
    </row>
    <row r="113" spans="1:2" ht="15.75" customHeight="1">
      <c r="A113" s="33"/>
      <c r="B113" s="33"/>
    </row>
    <row r="114" spans="1:2" ht="15.75" customHeight="1">
      <c r="A114" s="33"/>
      <c r="B114" s="33"/>
    </row>
    <row r="115" spans="1:2" ht="15.75" customHeight="1">
      <c r="A115" s="33"/>
      <c r="B115" s="33"/>
    </row>
    <row r="116" spans="1:2" ht="15.75" customHeight="1">
      <c r="A116" s="33"/>
      <c r="B116" s="33"/>
    </row>
    <row r="117" spans="1:2" ht="15.75" customHeight="1">
      <c r="A117" s="33"/>
      <c r="B117" s="33"/>
    </row>
    <row r="118" spans="1:2" ht="15.75" customHeight="1">
      <c r="A118" s="33"/>
      <c r="B118" s="33"/>
    </row>
    <row r="119" spans="1:2" ht="15.75" customHeight="1">
      <c r="A119" s="33"/>
      <c r="B119" s="33"/>
    </row>
    <row r="120" spans="1:2" ht="15.75" customHeight="1">
      <c r="A120" s="33"/>
      <c r="B120" s="33"/>
    </row>
    <row r="121" spans="1:2" ht="15.75" customHeight="1">
      <c r="A121" s="33"/>
      <c r="B121" s="33"/>
    </row>
    <row r="122" spans="1:2" ht="15.75" customHeight="1">
      <c r="A122" s="33"/>
      <c r="B122" s="33"/>
    </row>
    <row r="123" spans="1:2" ht="15.75" customHeight="1">
      <c r="A123" s="33"/>
      <c r="B123" s="33"/>
    </row>
    <row r="124" spans="1:2" ht="15.75" customHeight="1">
      <c r="A124" s="33"/>
      <c r="B124" s="33"/>
    </row>
    <row r="125" spans="1:2" ht="15.75" customHeight="1">
      <c r="A125" s="33"/>
      <c r="B125" s="33"/>
    </row>
    <row r="126" spans="1:2" ht="15.75" customHeight="1">
      <c r="A126" s="33"/>
      <c r="B126" s="33"/>
    </row>
    <row r="127" spans="1:2" ht="15.75" customHeight="1">
      <c r="A127" s="33"/>
      <c r="B127" s="33"/>
    </row>
    <row r="128" spans="1:2" ht="15.75" customHeight="1">
      <c r="A128" s="33"/>
      <c r="B128" s="33"/>
    </row>
    <row r="129" spans="1:2" ht="15.75" customHeight="1">
      <c r="A129" s="33"/>
      <c r="B129" s="33"/>
    </row>
    <row r="130" spans="1:2" ht="15.75" customHeight="1">
      <c r="A130" s="33"/>
      <c r="B130" s="33"/>
    </row>
    <row r="131" spans="1:2" ht="15.75" customHeight="1">
      <c r="A131" s="33"/>
      <c r="B131" s="33"/>
    </row>
    <row r="132" spans="1:2" ht="15.75" customHeight="1">
      <c r="A132" s="33"/>
      <c r="B132" s="33"/>
    </row>
    <row r="133" spans="1:2" ht="15.75" customHeight="1">
      <c r="A133" s="33"/>
      <c r="B133" s="33"/>
    </row>
    <row r="134" spans="1:2" ht="15.75" customHeight="1">
      <c r="A134" s="33"/>
      <c r="B134" s="33"/>
    </row>
    <row r="135" spans="1:2" ht="15.75" customHeight="1">
      <c r="A135" s="33"/>
      <c r="B135" s="33"/>
    </row>
    <row r="136" spans="1:2" ht="15.75" customHeight="1">
      <c r="A136" s="33"/>
      <c r="B136" s="33"/>
    </row>
    <row r="137" spans="1:2" ht="15.75" customHeight="1">
      <c r="A137" s="33"/>
      <c r="B137" s="33"/>
    </row>
    <row r="138" spans="1:2" ht="15.75" customHeight="1">
      <c r="A138" s="33"/>
      <c r="B138" s="33"/>
    </row>
    <row r="139" spans="1:2" ht="15.75" customHeight="1">
      <c r="A139" s="33"/>
      <c r="B139" s="33"/>
    </row>
    <row r="140" spans="1:2" ht="15.75" customHeight="1">
      <c r="A140" s="33"/>
      <c r="B140" s="33"/>
    </row>
    <row r="141" spans="1:2" ht="15.75" customHeight="1">
      <c r="A141" s="33"/>
      <c r="B141" s="33"/>
    </row>
    <row r="142" spans="1:2" ht="15.75" customHeight="1">
      <c r="A142" s="33"/>
      <c r="B142" s="33"/>
    </row>
    <row r="143" spans="1:2" ht="15.75" customHeight="1">
      <c r="A143" s="33"/>
      <c r="B143" s="33"/>
    </row>
    <row r="144" spans="1:2" ht="15.75" customHeight="1">
      <c r="A144" s="33"/>
      <c r="B144" s="33"/>
    </row>
    <row r="145" spans="1:2" ht="15.75" customHeight="1">
      <c r="A145" s="33"/>
      <c r="B145" s="33"/>
    </row>
    <row r="146" spans="1:2" ht="15.75" customHeight="1">
      <c r="A146" s="33"/>
      <c r="B146" s="33"/>
    </row>
    <row r="147" spans="1:2" ht="15.75" customHeight="1">
      <c r="A147" s="33"/>
      <c r="B147" s="33"/>
    </row>
    <row r="148" spans="1:2" ht="15.75" customHeight="1">
      <c r="A148" s="33"/>
      <c r="B148" s="33"/>
    </row>
    <row r="149" spans="1:2" ht="15.75" customHeight="1">
      <c r="A149" s="33"/>
      <c r="B149" s="33"/>
    </row>
    <row r="150" spans="1:2" ht="15.75" customHeight="1">
      <c r="A150" s="33"/>
      <c r="B150" s="33"/>
    </row>
    <row r="151" spans="1:2" ht="15.75" customHeight="1">
      <c r="A151" s="33"/>
      <c r="B151" s="33"/>
    </row>
    <row r="152" spans="1:2" ht="15.75" customHeight="1">
      <c r="A152" s="33"/>
      <c r="B152" s="33"/>
    </row>
    <row r="153" spans="1:2" ht="15.75" customHeight="1">
      <c r="A153" s="33"/>
      <c r="B153" s="33"/>
    </row>
    <row r="154" spans="1:2" ht="15.75" customHeight="1">
      <c r="A154" s="33"/>
      <c r="B154" s="33"/>
    </row>
    <row r="155" spans="1:2" ht="15.75" customHeight="1">
      <c r="A155" s="33"/>
      <c r="B155" s="33"/>
    </row>
    <row r="156" spans="1:2" ht="15.75" customHeight="1">
      <c r="A156" s="33"/>
      <c r="B156" s="33"/>
    </row>
    <row r="157" spans="1:2" ht="15.75" customHeight="1">
      <c r="A157" s="33"/>
      <c r="B157" s="33"/>
    </row>
    <row r="158" spans="1:2" ht="15.75" customHeight="1">
      <c r="A158" s="33"/>
      <c r="B158" s="33"/>
    </row>
    <row r="159" spans="1:2" ht="15.75" customHeight="1">
      <c r="A159" s="33"/>
      <c r="B159" s="33"/>
    </row>
    <row r="160" spans="1:2" ht="15.75" customHeight="1">
      <c r="A160" s="33"/>
      <c r="B160" s="33"/>
    </row>
    <row r="161" spans="1:2" ht="15.75" customHeight="1">
      <c r="A161" s="33"/>
      <c r="B161" s="33"/>
    </row>
    <row r="162" spans="1:2" ht="15.75" customHeight="1">
      <c r="A162" s="33"/>
      <c r="B162" s="33"/>
    </row>
    <row r="163" spans="1:2" ht="15.75" customHeight="1">
      <c r="A163" s="33"/>
      <c r="B163" s="33"/>
    </row>
    <row r="164" spans="1:2" ht="15.75" customHeight="1">
      <c r="A164" s="33"/>
      <c r="B164" s="33"/>
    </row>
    <row r="165" spans="1:2" ht="15.75" customHeight="1">
      <c r="A165" s="33"/>
      <c r="B165" s="33"/>
    </row>
    <row r="166" spans="1:2" ht="15.75" customHeight="1">
      <c r="A166" s="33"/>
      <c r="B166" s="33"/>
    </row>
    <row r="167" spans="1:2" ht="15.75" customHeight="1">
      <c r="A167" s="33"/>
      <c r="B167" s="33"/>
    </row>
    <row r="168" spans="1:2" ht="15.75" customHeight="1">
      <c r="A168" s="33"/>
      <c r="B168" s="33"/>
    </row>
    <row r="169" spans="1:2" ht="15.75" customHeight="1">
      <c r="A169" s="33"/>
      <c r="B169" s="33"/>
    </row>
    <row r="170" spans="1:2" ht="15.75" customHeight="1">
      <c r="A170" s="33"/>
      <c r="B170" s="33"/>
    </row>
    <row r="171" spans="1:2" ht="15.75" customHeight="1">
      <c r="A171" s="33"/>
      <c r="B171" s="33"/>
    </row>
    <row r="172" spans="1:2" ht="15.75" customHeight="1">
      <c r="A172" s="33"/>
      <c r="B172" s="33"/>
    </row>
    <row r="173" spans="1:2" ht="15.75" customHeight="1">
      <c r="A173" s="33"/>
      <c r="B173" s="33"/>
    </row>
    <row r="174" spans="1:2" ht="15.75" customHeight="1">
      <c r="A174" s="33"/>
      <c r="B174" s="33"/>
    </row>
    <row r="175" spans="1:2" ht="15.75" customHeight="1">
      <c r="A175" s="33"/>
      <c r="B175" s="33"/>
    </row>
    <row r="176" spans="1:2" ht="15.75" customHeight="1">
      <c r="A176" s="33"/>
      <c r="B176" s="33"/>
    </row>
    <row r="177" spans="1:2" ht="15.75" customHeight="1">
      <c r="A177" s="33"/>
      <c r="B177" s="33"/>
    </row>
    <row r="178" spans="1:2" ht="15.75" customHeight="1">
      <c r="A178" s="33"/>
      <c r="B178" s="33"/>
    </row>
    <row r="179" spans="1:2" ht="15.75" customHeight="1">
      <c r="A179" s="33"/>
      <c r="B179" s="33"/>
    </row>
    <row r="180" spans="1:2" ht="15.75" customHeight="1">
      <c r="A180" s="33"/>
      <c r="B180" s="33"/>
    </row>
    <row r="181" spans="1:2" ht="15.75" customHeight="1">
      <c r="A181" s="33"/>
      <c r="B181" s="33"/>
    </row>
    <row r="182" spans="1:2" ht="15.75" customHeight="1">
      <c r="A182" s="33"/>
      <c r="B182" s="33"/>
    </row>
    <row r="183" spans="1:2" ht="15.75" customHeight="1">
      <c r="A183" s="33"/>
      <c r="B183" s="33"/>
    </row>
    <row r="184" spans="1:2" ht="15.75" customHeight="1">
      <c r="A184" s="33"/>
      <c r="B184" s="33"/>
    </row>
    <row r="185" spans="1:2" ht="15.75" customHeight="1">
      <c r="A185" s="33"/>
      <c r="B185" s="33"/>
    </row>
    <row r="186" spans="1:2" ht="15.75" customHeight="1">
      <c r="A186" s="33"/>
      <c r="B186" s="33"/>
    </row>
    <row r="187" spans="1:2" ht="15.75" customHeight="1">
      <c r="A187" s="33"/>
      <c r="B187" s="33"/>
    </row>
    <row r="188" spans="1:2" ht="15.75" customHeight="1">
      <c r="A188" s="33"/>
      <c r="B188" s="33"/>
    </row>
    <row r="189" spans="1:2" ht="15.75" customHeight="1">
      <c r="A189" s="33"/>
      <c r="B189" s="33"/>
    </row>
    <row r="190" spans="1:2" ht="15.75" customHeight="1">
      <c r="A190" s="33"/>
      <c r="B190" s="33"/>
    </row>
    <row r="191" spans="1:2" ht="15.75" customHeight="1">
      <c r="A191" s="33"/>
      <c r="B191" s="33"/>
    </row>
    <row r="192" spans="1:2" ht="15.75" customHeight="1">
      <c r="A192" s="33"/>
      <c r="B192" s="33"/>
    </row>
    <row r="193" spans="1:2" ht="15.75" customHeight="1">
      <c r="A193" s="33"/>
      <c r="B193" s="33"/>
    </row>
    <row r="194" spans="1:2" ht="15.75" customHeight="1">
      <c r="A194" s="33"/>
      <c r="B194" s="33"/>
    </row>
    <row r="195" spans="1:2" ht="15.75" customHeight="1">
      <c r="A195" s="33"/>
      <c r="B195" s="33"/>
    </row>
    <row r="196" spans="1:2" ht="15.75" customHeight="1">
      <c r="A196" s="33"/>
      <c r="B196" s="33"/>
    </row>
    <row r="197" spans="1:2" ht="15.75" customHeight="1">
      <c r="A197" s="33"/>
      <c r="B197" s="33"/>
    </row>
    <row r="198" spans="1:2" ht="15.75" customHeight="1">
      <c r="A198" s="33"/>
      <c r="B198" s="33"/>
    </row>
    <row r="199" spans="1:2" ht="15.75" customHeight="1">
      <c r="A199" s="33"/>
      <c r="B199" s="33"/>
    </row>
    <row r="200" spans="1:2" ht="15.75" customHeight="1">
      <c r="A200" s="33"/>
      <c r="B200" s="33"/>
    </row>
    <row r="201" spans="1:2" ht="15.75" customHeight="1">
      <c r="A201" s="33"/>
      <c r="B201" s="33"/>
    </row>
    <row r="202" spans="1:2" ht="15.75" customHeight="1">
      <c r="A202" s="33"/>
      <c r="B202" s="33"/>
    </row>
    <row r="203" spans="1:2" ht="15.75" customHeight="1">
      <c r="A203" s="33"/>
      <c r="B203" s="33"/>
    </row>
    <row r="204" spans="1:2" ht="15.75" customHeight="1">
      <c r="A204" s="33"/>
      <c r="B204" s="33"/>
    </row>
    <row r="205" spans="1:2" ht="15.75" customHeight="1">
      <c r="A205" s="33"/>
      <c r="B205" s="33"/>
    </row>
    <row r="206" spans="1:2" ht="15.75" customHeight="1">
      <c r="A206" s="33"/>
      <c r="B206" s="33"/>
    </row>
    <row r="207" spans="1:2" ht="15.75" customHeight="1">
      <c r="A207" s="33"/>
      <c r="B207" s="33"/>
    </row>
    <row r="208" spans="1:2" ht="15.75" customHeight="1">
      <c r="A208" s="33"/>
      <c r="B208" s="33"/>
    </row>
    <row r="209" spans="1:2" ht="15.75" customHeight="1">
      <c r="A209" s="33"/>
      <c r="B209" s="33"/>
    </row>
    <row r="210" spans="1:2" ht="15.75" customHeight="1">
      <c r="A210" s="33"/>
      <c r="B210" s="33"/>
    </row>
    <row r="211" spans="1:2" ht="15.75" customHeight="1">
      <c r="A211" s="33"/>
      <c r="B211" s="33"/>
    </row>
    <row r="212" spans="1:2" ht="15.75" customHeight="1">
      <c r="A212" s="33"/>
      <c r="B212" s="33"/>
    </row>
    <row r="213" spans="1:2" ht="15.75" customHeight="1">
      <c r="A213" s="33"/>
      <c r="B213" s="33"/>
    </row>
    <row r="214" spans="1:2" ht="15.75" customHeight="1">
      <c r="A214" s="33"/>
      <c r="B214" s="33"/>
    </row>
    <row r="215" spans="1:2" ht="15.75" customHeight="1">
      <c r="A215" s="33"/>
      <c r="B215" s="33"/>
    </row>
    <row r="216" spans="1:2" ht="15.75" customHeight="1">
      <c r="A216" s="33"/>
      <c r="B216" s="33"/>
    </row>
    <row r="217" spans="1:2" ht="15.75" customHeight="1">
      <c r="A217" s="33"/>
      <c r="B217" s="33"/>
    </row>
    <row r="218" spans="1:2" ht="15.75" customHeight="1">
      <c r="A218" s="33"/>
      <c r="B218" s="33"/>
    </row>
    <row r="219" spans="1:2" ht="15.75" customHeight="1">
      <c r="A219" s="33"/>
      <c r="B219" s="33"/>
    </row>
    <row r="220" spans="1:2" ht="15.75" customHeight="1">
      <c r="A220" s="33"/>
      <c r="B220" s="33"/>
    </row>
    <row r="221" spans="1:2" ht="15.75" customHeight="1"/>
    <row r="222" spans="1:2" ht="15.75" customHeight="1"/>
    <row r="223" spans="1:2" ht="15.75" customHeight="1"/>
    <row r="224" spans="1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" customHeight="1"/>
  <cols>
    <col min="1" max="6" width="14.42578125" customWidth="1"/>
  </cols>
  <sheetData>
    <row r="1" spans="1:2">
      <c r="A1" s="33" t="s">
        <v>16</v>
      </c>
      <c r="B1" s="33" t="s">
        <v>16</v>
      </c>
    </row>
    <row r="2" spans="1:2">
      <c r="A2" s="33" t="s">
        <v>34</v>
      </c>
      <c r="B2" s="33" t="s">
        <v>27</v>
      </c>
    </row>
    <row r="3" spans="1:2">
      <c r="A3" s="33" t="s">
        <v>54</v>
      </c>
      <c r="B3" s="33" t="s">
        <v>18</v>
      </c>
    </row>
    <row r="4" spans="1:2">
      <c r="A4" s="33" t="s">
        <v>20</v>
      </c>
      <c r="B4" s="33" t="s">
        <v>29</v>
      </c>
    </row>
    <row r="5" spans="1:2">
      <c r="A5" s="33" t="s">
        <v>61</v>
      </c>
      <c r="B5" s="33" t="s">
        <v>38</v>
      </c>
    </row>
    <row r="6" spans="1:2">
      <c r="A6" s="33" t="s">
        <v>62</v>
      </c>
      <c r="B6" s="33" t="s">
        <v>31</v>
      </c>
    </row>
    <row r="7" spans="1:2">
      <c r="A7" s="33" t="s">
        <v>63</v>
      </c>
      <c r="B7" s="33" t="s">
        <v>19</v>
      </c>
    </row>
    <row r="8" spans="1:2">
      <c r="A8" s="33" t="s">
        <v>64</v>
      </c>
      <c r="B8" s="33" t="s">
        <v>34</v>
      </c>
    </row>
    <row r="9" spans="1:2">
      <c r="A9" s="33" t="s">
        <v>65</v>
      </c>
      <c r="B9" s="33" t="s">
        <v>36</v>
      </c>
    </row>
    <row r="10" spans="1:2">
      <c r="A10" s="33" t="s">
        <v>66</v>
      </c>
      <c r="B10" s="33" t="s">
        <v>40</v>
      </c>
    </row>
    <row r="11" spans="1:2">
      <c r="A11" s="33" t="s">
        <v>67</v>
      </c>
      <c r="B11" s="33" t="s">
        <v>68</v>
      </c>
    </row>
    <row r="12" spans="1:2">
      <c r="A12" s="33" t="s">
        <v>69</v>
      </c>
      <c r="B12" s="33" t="s">
        <v>42</v>
      </c>
    </row>
    <row r="13" spans="1:2">
      <c r="A13" s="33" t="s">
        <v>70</v>
      </c>
      <c r="B13" s="33" t="s">
        <v>52</v>
      </c>
    </row>
    <row r="14" spans="1:2">
      <c r="A14" s="33" t="s">
        <v>18</v>
      </c>
      <c r="B14" s="33" t="s">
        <v>46</v>
      </c>
    </row>
    <row r="15" spans="1:2">
      <c r="A15" s="33" t="s">
        <v>36</v>
      </c>
      <c r="B15" s="33" t="s">
        <v>48</v>
      </c>
    </row>
    <row r="16" spans="1:2">
      <c r="A16" s="33" t="s">
        <v>38</v>
      </c>
      <c r="B16" s="33" t="s">
        <v>44</v>
      </c>
    </row>
    <row r="17" spans="1:2">
      <c r="A17" s="33" t="s">
        <v>40</v>
      </c>
      <c r="B17" s="33" t="s">
        <v>61</v>
      </c>
    </row>
    <row r="18" spans="1:2">
      <c r="A18" s="33" t="s">
        <v>16</v>
      </c>
      <c r="B18" s="33" t="s">
        <v>71</v>
      </c>
    </row>
    <row r="19" spans="1:2">
      <c r="A19" s="33" t="s">
        <v>34</v>
      </c>
      <c r="B19" s="33" t="s">
        <v>20</v>
      </c>
    </row>
    <row r="20" spans="1:2">
      <c r="A20" s="33" t="s">
        <v>36</v>
      </c>
      <c r="B20" s="33" t="s">
        <v>64</v>
      </c>
    </row>
    <row r="21" spans="1:2" ht="15.75" customHeight="1">
      <c r="A21" s="33" t="s">
        <v>38</v>
      </c>
      <c r="B21" s="33" t="s">
        <v>65</v>
      </c>
    </row>
    <row r="22" spans="1:2" ht="15.75" customHeight="1">
      <c r="A22" s="33" t="s">
        <v>40</v>
      </c>
      <c r="B22" s="33" t="s">
        <v>17</v>
      </c>
    </row>
    <row r="23" spans="1:2" ht="15.75" customHeight="1">
      <c r="A23" s="33" t="s">
        <v>19</v>
      </c>
      <c r="B23" s="33" t="s">
        <v>21</v>
      </c>
    </row>
    <row r="24" spans="1:2" ht="15.75" customHeight="1">
      <c r="A24" s="33" t="s">
        <v>46</v>
      </c>
      <c r="B24" s="33" t="s">
        <v>72</v>
      </c>
    </row>
    <row r="25" spans="1:2" ht="15.75" customHeight="1">
      <c r="A25" s="33" t="s">
        <v>50</v>
      </c>
      <c r="B25" s="33" t="s">
        <v>73</v>
      </c>
    </row>
    <row r="26" spans="1:2" ht="15.75" customHeight="1">
      <c r="A26" s="33" t="s">
        <v>15</v>
      </c>
      <c r="B26" s="33" t="s">
        <v>74</v>
      </c>
    </row>
    <row r="27" spans="1:2" ht="15.75" customHeight="1">
      <c r="A27" s="33" t="s">
        <v>75</v>
      </c>
      <c r="B27" s="33" t="s">
        <v>76</v>
      </c>
    </row>
    <row r="28" spans="1:2" ht="15.75" customHeight="1">
      <c r="A28" s="33" t="s">
        <v>77</v>
      </c>
      <c r="B28" s="33" t="s">
        <v>78</v>
      </c>
    </row>
    <row r="29" spans="1:2" ht="15.75" customHeight="1">
      <c r="A29" s="33" t="s">
        <v>79</v>
      </c>
      <c r="B29" s="33" t="s">
        <v>80</v>
      </c>
    </row>
    <row r="30" spans="1:2" ht="15.75" customHeight="1">
      <c r="A30" s="33" t="s">
        <v>81</v>
      </c>
      <c r="B30" s="33" t="s">
        <v>22</v>
      </c>
    </row>
    <row r="31" spans="1:2" ht="15.75" customHeight="1">
      <c r="A31" s="33" t="s">
        <v>82</v>
      </c>
      <c r="B31" s="33" t="s">
        <v>83</v>
      </c>
    </row>
    <row r="32" spans="1:2" ht="15.75" customHeight="1">
      <c r="A32" s="33" t="s">
        <v>84</v>
      </c>
      <c r="B32" s="33" t="s">
        <v>85</v>
      </c>
    </row>
    <row r="33" spans="1:2" ht="15.75" customHeight="1">
      <c r="A33" s="33" t="s">
        <v>86</v>
      </c>
      <c r="B33" s="33" t="s">
        <v>87</v>
      </c>
    </row>
    <row r="34" spans="1:2" ht="15.75" customHeight="1">
      <c r="A34" s="33" t="s">
        <v>27</v>
      </c>
      <c r="B34" s="33" t="s">
        <v>82</v>
      </c>
    </row>
    <row r="35" spans="1:2" ht="15.75" customHeight="1">
      <c r="A35" s="33" t="s">
        <v>44</v>
      </c>
      <c r="B35" s="33" t="s">
        <v>88</v>
      </c>
    </row>
    <row r="36" spans="1:2" ht="15.75" customHeight="1">
      <c r="A36" s="33" t="s">
        <v>52</v>
      </c>
      <c r="B36" s="33" t="s">
        <v>59</v>
      </c>
    </row>
    <row r="37" spans="1:2" ht="15.75" customHeight="1">
      <c r="A37" s="33" t="s">
        <v>87</v>
      </c>
      <c r="B37" s="33" t="s">
        <v>89</v>
      </c>
    </row>
    <row r="38" spans="1:2" ht="15.75" customHeight="1">
      <c r="A38" s="33" t="s">
        <v>59</v>
      </c>
      <c r="B38" s="33" t="s">
        <v>90</v>
      </c>
    </row>
    <row r="39" spans="1:2" ht="15.75" customHeight="1">
      <c r="A39" s="33" t="s">
        <v>31</v>
      </c>
      <c r="B39" s="33" t="s">
        <v>91</v>
      </c>
    </row>
    <row r="40" spans="1:2" ht="15.75" customHeight="1">
      <c r="A40" s="33" t="s">
        <v>29</v>
      </c>
      <c r="B40" s="33" t="s">
        <v>62</v>
      </c>
    </row>
    <row r="41" spans="1:2" ht="15.75" customHeight="1">
      <c r="A41" s="33" t="s">
        <v>42</v>
      </c>
      <c r="B41" s="33" t="s">
        <v>92</v>
      </c>
    </row>
    <row r="42" spans="1:2" ht="15.75" customHeight="1">
      <c r="A42" s="33" t="s">
        <v>93</v>
      </c>
      <c r="B42" s="33" t="s">
        <v>94</v>
      </c>
    </row>
    <row r="43" spans="1:2" ht="15.75" customHeight="1">
      <c r="A43" s="33" t="s">
        <v>90</v>
      </c>
      <c r="B43" s="33" t="s">
        <v>95</v>
      </c>
    </row>
    <row r="44" spans="1:2" ht="15.75" customHeight="1">
      <c r="A44" s="33" t="s">
        <v>96</v>
      </c>
      <c r="B44" s="33" t="s">
        <v>97</v>
      </c>
    </row>
    <row r="45" spans="1:2" ht="15.75" customHeight="1">
      <c r="A45" s="33" t="s">
        <v>95</v>
      </c>
      <c r="B45" s="33" t="s">
        <v>75</v>
      </c>
    </row>
    <row r="46" spans="1:2" ht="15.75" customHeight="1">
      <c r="A46" s="33" t="s">
        <v>98</v>
      </c>
      <c r="B46" s="33" t="s">
        <v>99</v>
      </c>
    </row>
    <row r="47" spans="1:2" ht="15.75" customHeight="1">
      <c r="A47" s="33" t="s">
        <v>97</v>
      </c>
      <c r="B47" s="33" t="s">
        <v>100</v>
      </c>
    </row>
    <row r="48" spans="1:2" ht="15.75" customHeight="1">
      <c r="A48" s="33" t="s">
        <v>101</v>
      </c>
      <c r="B48" s="33" t="s">
        <v>102</v>
      </c>
    </row>
    <row r="49" spans="1:2" ht="15.75" customHeight="1">
      <c r="A49" s="33" t="s">
        <v>100</v>
      </c>
      <c r="B49" s="33" t="s">
        <v>103</v>
      </c>
    </row>
    <row r="50" spans="1:2" ht="15.75" customHeight="1">
      <c r="A50" s="33" t="s">
        <v>104</v>
      </c>
      <c r="B50" s="33" t="s">
        <v>105</v>
      </c>
    </row>
    <row r="51" spans="1:2" ht="15.75" customHeight="1">
      <c r="A51" s="33" t="s">
        <v>106</v>
      </c>
      <c r="B51" s="33" t="s">
        <v>107</v>
      </c>
    </row>
    <row r="52" spans="1:2" ht="15.75" customHeight="1">
      <c r="A52" s="33" t="s">
        <v>68</v>
      </c>
      <c r="B52" s="33" t="s">
        <v>108</v>
      </c>
    </row>
    <row r="53" spans="1:2" ht="15.75" customHeight="1">
      <c r="A53" s="33" t="s">
        <v>71</v>
      </c>
      <c r="B53" s="33" t="s">
        <v>109</v>
      </c>
    </row>
    <row r="54" spans="1:2" ht="15.75" customHeight="1">
      <c r="A54" s="33" t="s">
        <v>89</v>
      </c>
      <c r="B54" s="33" t="s">
        <v>110</v>
      </c>
    </row>
    <row r="55" spans="1:2" ht="15.75" customHeight="1">
      <c r="A55" s="33" t="s">
        <v>91</v>
      </c>
      <c r="B55" s="33" t="s">
        <v>111</v>
      </c>
    </row>
    <row r="56" spans="1:2" ht="15.75" customHeight="1">
      <c r="A56" s="33" t="s">
        <v>92</v>
      </c>
      <c r="B56" s="33" t="s">
        <v>86</v>
      </c>
    </row>
    <row r="57" spans="1:2" ht="15.75" customHeight="1">
      <c r="A57" s="33" t="s">
        <v>112</v>
      </c>
      <c r="B57" s="33" t="s">
        <v>50</v>
      </c>
    </row>
    <row r="58" spans="1:2" ht="15.75" customHeight="1">
      <c r="A58" s="33" t="s">
        <v>73</v>
      </c>
      <c r="B58" s="33" t="s">
        <v>54</v>
      </c>
    </row>
    <row r="59" spans="1:2" ht="15.75" customHeight="1">
      <c r="A59" s="33" t="s">
        <v>76</v>
      </c>
      <c r="B59" s="33" t="s">
        <v>15</v>
      </c>
    </row>
    <row r="60" spans="1:2" ht="15.75" customHeight="1">
      <c r="A60" s="33" t="s">
        <v>78</v>
      </c>
      <c r="B60" s="33" t="s">
        <v>57</v>
      </c>
    </row>
    <row r="61" spans="1:2" ht="15.75" customHeight="1">
      <c r="A61" s="33" t="s">
        <v>22</v>
      </c>
      <c r="B61" s="33" t="s">
        <v>81</v>
      </c>
    </row>
    <row r="62" spans="1:2" ht="15.75" customHeight="1">
      <c r="A62" s="33" t="s">
        <v>113</v>
      </c>
    </row>
    <row r="63" spans="1:2" ht="15.75" customHeight="1">
      <c r="A63" s="33" t="s">
        <v>114</v>
      </c>
    </row>
    <row r="64" spans="1:2" ht="15.75" customHeight="1">
      <c r="A64" s="33" t="s">
        <v>115</v>
      </c>
    </row>
    <row r="65" spans="1:1" ht="15.75" customHeight="1">
      <c r="A65" s="33" t="s">
        <v>48</v>
      </c>
    </row>
    <row r="66" spans="1:1" ht="15.75" customHeight="1">
      <c r="A66" s="33" t="s">
        <v>57</v>
      </c>
    </row>
    <row r="67" spans="1:1" ht="15.75" customHeight="1">
      <c r="A67" s="33" t="s">
        <v>21</v>
      </c>
    </row>
    <row r="68" spans="1:1" ht="15.75" customHeight="1">
      <c r="A68" s="33" t="s">
        <v>72</v>
      </c>
    </row>
    <row r="69" spans="1:1" ht="15.75" customHeight="1">
      <c r="A69" s="33" t="s">
        <v>102</v>
      </c>
    </row>
    <row r="70" spans="1:1" ht="15.75" customHeight="1">
      <c r="A70" s="33" t="s">
        <v>88</v>
      </c>
    </row>
    <row r="71" spans="1:1" ht="15.75" customHeight="1">
      <c r="A71" s="33" t="s">
        <v>103</v>
      </c>
    </row>
    <row r="72" spans="1:1" ht="15.75" customHeight="1">
      <c r="A72" s="33" t="s">
        <v>116</v>
      </c>
    </row>
    <row r="73" spans="1:1" ht="15.75" customHeight="1">
      <c r="A73" s="33" t="s">
        <v>105</v>
      </c>
    </row>
    <row r="74" spans="1:1" ht="15.75" customHeight="1">
      <c r="A74" s="33" t="s">
        <v>17</v>
      </c>
    </row>
    <row r="75" spans="1:1" ht="15.75" customHeight="1">
      <c r="A75" s="33" t="s">
        <v>94</v>
      </c>
    </row>
    <row r="76" spans="1:1" ht="15.75" customHeight="1">
      <c r="A76" s="33" t="s">
        <v>85</v>
      </c>
    </row>
    <row r="77" spans="1:1" ht="15.75" customHeight="1">
      <c r="A77" s="33" t="s">
        <v>99</v>
      </c>
    </row>
    <row r="78" spans="1:1" ht="15.75" customHeight="1">
      <c r="A78" s="33" t="s">
        <v>117</v>
      </c>
    </row>
    <row r="79" spans="1:1" ht="15.75" customHeight="1">
      <c r="A79" s="33" t="s">
        <v>74</v>
      </c>
    </row>
    <row r="80" spans="1:1" ht="15.75" customHeight="1">
      <c r="A80" s="33" t="s">
        <v>80</v>
      </c>
    </row>
    <row r="81" spans="1:1" ht="15.75" customHeight="1">
      <c r="A81" s="33" t="s">
        <v>83</v>
      </c>
    </row>
    <row r="82" spans="1:1" ht="15.75" customHeight="1">
      <c r="A82" s="33" t="s">
        <v>118</v>
      </c>
    </row>
    <row r="83" spans="1:1" ht="15.75" customHeight="1">
      <c r="A83" s="33" t="s">
        <v>119</v>
      </c>
    </row>
    <row r="84" spans="1:1" ht="15.75" customHeight="1">
      <c r="A84" s="33" t="s">
        <v>111</v>
      </c>
    </row>
    <row r="85" spans="1:1" ht="15.75" customHeight="1">
      <c r="A85" s="33" t="s">
        <v>108</v>
      </c>
    </row>
    <row r="86" spans="1:1" ht="15.75" customHeight="1">
      <c r="A86" s="33" t="s">
        <v>120</v>
      </c>
    </row>
    <row r="87" spans="1:1" ht="15.75" customHeight="1">
      <c r="A87" s="33" t="s">
        <v>121</v>
      </c>
    </row>
    <row r="88" spans="1:1" ht="15.75" customHeight="1">
      <c r="A88" s="33" t="s">
        <v>122</v>
      </c>
    </row>
    <row r="89" spans="1:1" ht="15.75" customHeight="1">
      <c r="A89" s="33" t="s">
        <v>123</v>
      </c>
    </row>
    <row r="90" spans="1:1" ht="15.75" customHeight="1">
      <c r="A90" s="33" t="s">
        <v>124</v>
      </c>
    </row>
    <row r="91" spans="1:1" ht="15.75" customHeight="1">
      <c r="A91" s="33" t="s">
        <v>125</v>
      </c>
    </row>
    <row r="92" spans="1:1" ht="15.75" customHeight="1">
      <c r="A92" s="33" t="s">
        <v>126</v>
      </c>
    </row>
    <row r="93" spans="1:1" ht="15.75" customHeight="1">
      <c r="A93" s="33" t="s">
        <v>127</v>
      </c>
    </row>
    <row r="94" spans="1:1" ht="15.75" customHeight="1">
      <c r="A94" s="33" t="s">
        <v>128</v>
      </c>
    </row>
    <row r="95" spans="1:1" ht="15.75" customHeight="1">
      <c r="A95" s="33" t="s">
        <v>129</v>
      </c>
    </row>
    <row r="96" spans="1:1" ht="15.75" customHeight="1">
      <c r="A96" s="33" t="s">
        <v>130</v>
      </c>
    </row>
    <row r="97" spans="1:1" ht="15.75" customHeight="1">
      <c r="A97" s="33" t="s">
        <v>131</v>
      </c>
    </row>
    <row r="98" spans="1:1" ht="15.75" customHeight="1">
      <c r="A98" s="33" t="s">
        <v>132</v>
      </c>
    </row>
    <row r="99" spans="1:1" ht="15.75" customHeight="1">
      <c r="A99" s="33" t="s">
        <v>109</v>
      </c>
    </row>
    <row r="100" spans="1:1" ht="15.75" customHeight="1">
      <c r="A100" s="33" t="s">
        <v>133</v>
      </c>
    </row>
    <row r="101" spans="1:1" ht="15.75" customHeight="1">
      <c r="A101" s="33" t="s">
        <v>134</v>
      </c>
    </row>
    <row r="102" spans="1:1" ht="15.75" customHeight="1">
      <c r="A102" s="33" t="s">
        <v>110</v>
      </c>
    </row>
    <row r="103" spans="1:1" ht="15.75" customHeight="1">
      <c r="A103" s="33" t="s">
        <v>135</v>
      </c>
    </row>
    <row r="104" spans="1:1" ht="15.75" customHeight="1">
      <c r="A104" s="33" t="s">
        <v>107</v>
      </c>
    </row>
    <row r="105" spans="1:1" ht="15.75" customHeight="1"/>
    <row r="106" spans="1:1" ht="15.75" customHeight="1"/>
    <row r="107" spans="1:1" ht="15.75" customHeight="1"/>
    <row r="108" spans="1:1" ht="15.75" customHeight="1"/>
    <row r="109" spans="1:1" ht="15.75" customHeight="1"/>
    <row r="110" spans="1:1" ht="15.75" customHeight="1"/>
    <row r="111" spans="1:1" ht="15.75" customHeight="1"/>
    <row r="112" spans="1: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Dados DEPOR</vt:lpstr>
      <vt:lpstr>ORGÃO</vt:lpstr>
      <vt:lpstr>BD2(NÃO MEXER)</vt:lpstr>
      <vt:lpstr>REFS2023</vt:lpstr>
      <vt:lpstr>REFS2024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Felipe Seiji Tanaka 153271.5</cp:lastModifiedBy>
  <dcterms:modified xsi:type="dcterms:W3CDTF">2025-02-28T17:43:16Z</dcterms:modified>
</cp:coreProperties>
</file>