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4"/>
    <sheet state="visible" name="vigia diurno " sheetId="2" r:id="rId5"/>
    <sheet state="visible" name="vigia noturno" sheetId="3" r:id="rId6"/>
    <sheet state="visible" name="vigia SDF" sheetId="4" r:id="rId7"/>
    <sheet state="hidden" name="SALDO CONVENÇÃO ANTERIOR" sheetId="5" r:id="rId8"/>
    <sheet state="hidden" name="SALDO COM 9º, 11º E 12º" sheetId="6" r:id="rId9"/>
    <sheet state="hidden" name="REEQUILIBRIO 13º ADT" sheetId="7" r:id="rId10"/>
  </sheets>
  <externalReferences>
    <externalReference r:id="rId11"/>
    <externalReference r:id="rId12"/>
    <externalReference r:id="rId13"/>
  </externalReferences>
  <definedNames/>
  <calcPr/>
  <extLst>
    <ext uri="GoogleSheetsCustomDataVersion2">
      <go:sheetsCustomData xmlns:go="http://customooxmlschemas.google.com/" r:id="rId14" roundtripDataChecksum="JpcYbAzI+8TfiRS149KD53Xu+19BROeJMFaq+LO3jgY="/>
    </ext>
  </extLst>
</workbook>
</file>

<file path=xl/sharedStrings.xml><?xml version="1.0" encoding="utf-8"?>
<sst xmlns="http://schemas.openxmlformats.org/spreadsheetml/2006/main" count="930" uniqueCount="273">
  <si>
    <t>Timbre da empresa</t>
  </si>
  <si>
    <t>Nome da empresa</t>
  </si>
  <si>
    <t>Data</t>
  </si>
  <si>
    <t>Endereço</t>
  </si>
  <si>
    <t>Orçamento nº</t>
  </si>
  <si>
    <t>Telefone</t>
  </si>
  <si>
    <t>CNPJ</t>
  </si>
  <si>
    <t>Inscrição</t>
  </si>
  <si>
    <t>Site</t>
  </si>
  <si>
    <t>E-mail</t>
  </si>
  <si>
    <t>Ao
Município de Pinhais - CNPJ 95.423.000/0001-00
Rodovia João Leopoldo Jacomel, 12162 CEP 83.323-410 - Pinhais - PR</t>
  </si>
  <si>
    <t>POSTO FIXO DE VIGIA</t>
  </si>
  <si>
    <t>ITEM</t>
  </si>
  <si>
    <t>UNIDADE</t>
  </si>
  <si>
    <t>DESCRIÇÃO</t>
  </si>
  <si>
    <t>QUANTIDADE POSTOS</t>
  </si>
  <si>
    <t>QUANTIDADE 24 MESES</t>
  </si>
  <si>
    <t>VALOR POR POSTO</t>
  </si>
  <si>
    <t>CUSTO MENSAL</t>
  </si>
  <si>
    <t>CUSTO TOTAL 24 MESES</t>
  </si>
  <si>
    <t>UNID</t>
  </si>
  <si>
    <t>POSTO FIXO 12 HORAS DIURNO "TIPO A"</t>
  </si>
  <si>
    <t>POSTO FIXO 12 HORAS NOTURNO "TIPO B"</t>
  </si>
  <si>
    <t>POSTO FIXO 12 HORAS
DIURNO – SDF (SÁBADOS,
DOMINGOS E FERIADOS)</t>
  </si>
  <si>
    <t>VALOR TOTAL</t>
  </si>
  <si>
    <t>Validade da proposta: 90 (noventa) dias.</t>
  </si>
  <si>
    <t>Assinatura</t>
  </si>
  <si>
    <t>Nome do responsável</t>
  </si>
  <si>
    <t>PREFEITURA MUNICIPAL DE PINHAIS</t>
  </si>
  <si>
    <t>SECRETARIA MUNCIPAL DE SEGURANÇA E TRANSITO - SESET</t>
  </si>
  <si>
    <t xml:space="preserve">MODELO DE PLANILHA DE CUSTOS E FORMAÇÃO DO PREÇO </t>
  </si>
  <si>
    <t xml:space="preserve">EMPRESA: </t>
  </si>
  <si>
    <t xml:space="preserve">Licitação nº: </t>
  </si>
  <si>
    <t>XX</t>
  </si>
  <si>
    <t>20XX</t>
  </si>
  <si>
    <t>OBJETO DA LICITAÇÃO:</t>
  </si>
  <si>
    <r>
      <rPr>
        <rFont val="Calibri"/>
        <b/>
        <color theme="1"/>
        <sz val="11.0"/>
      </rPr>
      <t xml:space="preserve">Regime Tributário da Empresa: </t>
    </r>
    <r>
      <rPr>
        <rFont val="Calibri"/>
        <b/>
        <color rgb="FFFF0000"/>
        <sz val="11.0"/>
      </rPr>
      <t xml:space="preserve"> LUCRO REAL</t>
    </r>
  </si>
  <si>
    <t>DISCRIMINAÇÃO DOS SERVIÇOS - DADOS REFERENTES À CONTRATAÇÃO</t>
  </si>
  <si>
    <t>Tipo de Serviço</t>
  </si>
  <si>
    <t>VIGIA DIURNO</t>
  </si>
  <si>
    <t>Unidade de Medida</t>
  </si>
  <si>
    <t>POSTO</t>
  </si>
  <si>
    <t xml:space="preserve">Número de  Meses da execucao contratual </t>
  </si>
  <si>
    <t>Categoria Profissional</t>
  </si>
  <si>
    <t>Data base da categoria</t>
  </si>
  <si>
    <t>MÓDULO 1: COMPOSIÇÃO DA REMUNERAÇÃO</t>
  </si>
  <si>
    <t>CATEGORIA DO EMPREGADO:</t>
  </si>
  <si>
    <t>VIGIA 44H SEMANAIS</t>
  </si>
  <si>
    <t>REMUNERAÇÃO</t>
  </si>
  <si>
    <t>%</t>
  </si>
  <si>
    <t>VALOR</t>
  </si>
  <si>
    <t>FUNDAMENTO LEGAL/MEMÓRIA DE CÁLCULO</t>
  </si>
  <si>
    <t xml:space="preserve">Salário Normativo </t>
  </si>
  <si>
    <t>Piso da categoria CCT</t>
  </si>
  <si>
    <t xml:space="preserve">Adicional Insalubridade </t>
  </si>
  <si>
    <t>De acordo com o CCT</t>
  </si>
  <si>
    <t>Adicional de assiduidade</t>
  </si>
  <si>
    <t>Outros (Especificar)</t>
  </si>
  <si>
    <t>TOTAL DA REMUNERAÇÃO</t>
  </si>
  <si>
    <t>Salário + Adicionais</t>
  </si>
  <si>
    <t>TOTAL DO MÓDULO 1</t>
  </si>
  <si>
    <t xml:space="preserve">Total da Remuneração:  salário + Adicionais </t>
  </si>
  <si>
    <t xml:space="preserve">MÓDULO 2: BENEFÍCIOS MENSAIS E DIÁRIOS </t>
  </si>
  <si>
    <t>*OBS: O valor informado deverá ser o custo real do insumo, descontado o valor eventualmente pago pelo empregado.</t>
  </si>
  <si>
    <t>BENEFÍCIOS</t>
  </si>
  <si>
    <t>% s/REMUN</t>
  </si>
  <si>
    <t>OBSERVAÇÕES/ FUNDAMENTO LEGAL/MEMÓRIA DE CÁLCULO</t>
  </si>
  <si>
    <t xml:space="preserve">Vale-transporte </t>
  </si>
  <si>
    <t>CCT 2024 cláusula 14ª Lei 7.418/95; OBS: Caso o transporte seja feito pela própria empresa apresentar justificativa e os custos relativos a essa forma de transporte.</t>
  </si>
  <si>
    <t>Vale alimentação</t>
  </si>
  <si>
    <r>
      <rPr>
        <rFont val="Calibri"/>
        <color theme="1"/>
        <sz val="11.0"/>
      </rPr>
      <t xml:space="preserve">CCT 2020 cláusula 13ª </t>
    </r>
    <r>
      <rPr>
        <rFont val="Calibri"/>
        <b/>
        <color rgb="FF000000"/>
        <sz val="11.0"/>
      </rPr>
      <t xml:space="preserve"> </t>
    </r>
  </si>
  <si>
    <t xml:space="preserve">Seguro de Vida </t>
  </si>
  <si>
    <t>Auxilio Funeral  - Benefício Social Familiar</t>
  </si>
  <si>
    <r>
      <rPr>
        <rFont val="Calibri"/>
        <color theme="1"/>
        <sz val="11.0"/>
      </rPr>
      <t xml:space="preserve">CCT 2020 cláusula 16ª </t>
    </r>
    <r>
      <rPr>
        <rFont val="Calibri"/>
        <b/>
        <color rgb="FF000000"/>
        <sz val="11.0"/>
      </rPr>
      <t xml:space="preserve"> </t>
    </r>
  </si>
  <si>
    <t>Assistência Médica</t>
  </si>
  <si>
    <r>
      <rPr>
        <rFont val="Calibri"/>
        <color theme="1"/>
        <sz val="11.0"/>
      </rPr>
      <t xml:space="preserve">CCT 2020 cláusula 15ª </t>
    </r>
    <r>
      <rPr>
        <rFont val="Calibri"/>
        <b/>
        <color rgb="FF000000"/>
        <sz val="11.0"/>
      </rPr>
      <t xml:space="preserve"> </t>
    </r>
  </si>
  <si>
    <t>Exames Medicos/Laudos Seg.Trab.</t>
  </si>
  <si>
    <t>Fundo de Formação Profissional</t>
  </si>
  <si>
    <r>
      <rPr>
        <rFont val="Calibri"/>
        <color theme="1"/>
        <sz val="11.0"/>
      </rPr>
      <t xml:space="preserve"> CCT 2020 cláusula 22ª </t>
    </r>
    <r>
      <rPr>
        <rFont val="Calibri"/>
        <b/>
        <color rgb="FF000000"/>
        <sz val="11.0"/>
      </rPr>
      <t xml:space="preserve"> </t>
    </r>
  </si>
  <si>
    <t>Refeição nas Férias</t>
  </si>
  <si>
    <t>TOTAL DO MÓDULO 2</t>
  </si>
  <si>
    <t xml:space="preserve">Total dos Benefícios mensais e diários </t>
  </si>
  <si>
    <t xml:space="preserve">MÓDULO 3: INSUMOS DIVERSOS </t>
  </si>
  <si>
    <t>Uniforme/EPI</t>
  </si>
  <si>
    <t xml:space="preserve">Inclui todos os itens que compõe o uniforme e EPI, que é fornecido gratuitamente ao empregado. Sugere-se pesquisa de preços. </t>
  </si>
  <si>
    <t>Equipamentos</t>
  </si>
  <si>
    <t>Materiais de limpeza</t>
  </si>
  <si>
    <t>Equipamento Relogio Biométrico</t>
  </si>
  <si>
    <t>TOTAL DO MÓDULO 3</t>
  </si>
  <si>
    <t xml:space="preserve">Total dos Insumos diversos </t>
  </si>
  <si>
    <t>MÓDULO 4: ENCARGOS SOCIAIS E TRABALHISTAS</t>
  </si>
  <si>
    <t>*OPÇÃO ENCARGOS SOCIAIS : GERAL OU  SIMPLES</t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</si>
  <si>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Calibri"/>
        <b/>
        <color rgb="FFFF0000"/>
        <sz val="10.0"/>
      </rPr>
      <t xml:space="preserve">
</t>
    </r>
  </si>
  <si>
    <t xml:space="preserve">GERAL </t>
  </si>
  <si>
    <t xml:space="preserve">SUBMÓDULO 4.1: Encargos Previdenciários e FGTS </t>
  </si>
  <si>
    <t>RUBRICA</t>
  </si>
  <si>
    <t>INSS</t>
  </si>
  <si>
    <t>Fundamento Legal: art. 25, inciso I, da Lei 8.212/91. Portanto, igual a 20% sobre o total da remuneração.</t>
  </si>
  <si>
    <t>SESI/SESC</t>
  </si>
  <si>
    <t>Fundamento Legal: art. 30 da Lei 8.036/90. Portanto, igual a 1,5% sobre o total da remuneração</t>
  </si>
  <si>
    <t>INCRA</t>
  </si>
  <si>
    <t>Fundamento Legal: Decreto Lei nº 1.146/70. Portanto 0,2% sobre o total da remuneração</t>
  </si>
  <si>
    <t>SENAI/SENAC</t>
  </si>
  <si>
    <t>Fundamento Legal: Decreto nº 2.318/86. Portanto, 1% sobre o total da remuneração</t>
  </si>
  <si>
    <t>Salário Educação</t>
  </si>
  <si>
    <t>Fundamento Legal: Art. 3º, inciso I, do Decreto nº 87.043/82. Portanto, 2,5% sobre o total da remuneração</t>
  </si>
  <si>
    <t>R.A.T.  (RAT 3,00%  x FAP1)</t>
  </si>
  <si>
    <t>Fundamento Legal: Art. 22, inciso II, da Lei 8.212/91 e Decreto nº 3048, de 6/5/99, anexo V, alterado pelo Decreto 6042 de 12/2/07.</t>
  </si>
  <si>
    <t>FGTS</t>
  </si>
  <si>
    <t>Fundamento Legal: Art. 15 da Lei. 8036/90 e art 7º, inciso III, da Constituição Federal de 05/10/88.Portanto, 8,0% sobre a remuneração.</t>
  </si>
  <si>
    <t>SEBRAE</t>
  </si>
  <si>
    <t>Fundamento Legal: Art. 8º da Lei 8.029/910, alterada pela Lei nº 8.154/90. Portanto, 0,6% sobre o total da remuneração</t>
  </si>
  <si>
    <t>TOTAL DO GRUPO 4.1</t>
  </si>
  <si>
    <t>Soma de todos os Encargos Sociais do Grupo 4.1</t>
  </si>
  <si>
    <t xml:space="preserve"> SUBMÓDULO 4.2: 13º SALÁRIO </t>
  </si>
  <si>
    <t>B) 13º salario</t>
  </si>
  <si>
    <t xml:space="preserve">Subtotal </t>
  </si>
  <si>
    <t>C) Incid. do 4.1 sobre 13º Sal</t>
  </si>
  <si>
    <t>TOTAL DO GRUPO 4.2</t>
  </si>
  <si>
    <t xml:space="preserve">SUBMÓDULO 4.3:  AFASTAMENTO MATERNIDADE </t>
  </si>
  <si>
    <t>A) Licença Maternidade</t>
  </si>
  <si>
    <t>Lei 10.421/02 - Lei 12.010/2009</t>
  </si>
  <si>
    <t xml:space="preserve">B) Incid. do 4.1 sobre Afast Matern </t>
  </si>
  <si>
    <t>fórmula</t>
  </si>
  <si>
    <t>TOTAL DO GRUPO 4.3</t>
  </si>
  <si>
    <t xml:space="preserve">SUBMÓDULO 4.4: PROVISÃO PARA RESCISÃO </t>
  </si>
  <si>
    <t>A) Aviso Prévio Indenizado</t>
  </si>
  <si>
    <t xml:space="preserve">Art 7º, XXI, CF e 477, 487 e 491 CLT: </t>
  </si>
  <si>
    <t xml:space="preserve">B) FGTS s/ Av Pr Inden </t>
  </si>
  <si>
    <t>De acordo com retificação, publicada no DOU de 1/04/11, da PN 07/11, a incidência do FGTS passa a ser sobre o API</t>
  </si>
  <si>
    <t>C) Multa do FGTS s/ AP Ind</t>
  </si>
  <si>
    <t>D) Aviso Previo Trabalhado</t>
  </si>
  <si>
    <t>Art 7º, XXI, CF e 477, 487 e 491 CLT: 1sal/30(dias)*7(aviso previo)/12(meses)*1%</t>
  </si>
  <si>
    <t>Aviso Prévio Final contrato</t>
  </si>
  <si>
    <t>Art 7º, XXI, CF e 477, 487 e 491 CLT</t>
  </si>
  <si>
    <t>E) Incid 4.1 s/ Av Pr. Trab.</t>
  </si>
  <si>
    <t xml:space="preserve">F) Multa do FGTS s/ Av Prev Trab </t>
  </si>
  <si>
    <t>Lei 8036/90 e 9491/97e LC 110/2001: 8%(FGTS)x50%(Multa)x100%( estimando  todos demitidos ao final do contrato)</t>
  </si>
  <si>
    <t>G) Indenização Adicional</t>
  </si>
  <si>
    <t>Lei nº 6.708/1979 e a Lei nº 7.238/1984: 1(mês)/12(meses)x1%frequencia estimada</t>
  </si>
  <si>
    <t>TOTAL DO GRUPO 4.4</t>
  </si>
  <si>
    <t xml:space="preserve">SUBMÓDULO 4.5: CUSTO DE REPOSIÇÃO DE PROFISSIONAL AUSENTE </t>
  </si>
  <si>
    <t>A) Férias</t>
  </si>
  <si>
    <t>1/11 avos + 1/3 abono constitucional</t>
  </si>
  <si>
    <t>B) Ausência por Doença</t>
  </si>
  <si>
    <t>Art. 59 e 64 lei 8213/91</t>
  </si>
  <si>
    <t>C) Licença Paternidade</t>
  </si>
  <si>
    <t>Art. XIX CF e 10§1º CLT</t>
  </si>
  <si>
    <t>D) Ausências legais</t>
  </si>
  <si>
    <t>E) Ausência por Acidente do Trabalho</t>
  </si>
  <si>
    <t>Art.19 a 23 lei 8213/91</t>
  </si>
  <si>
    <t xml:space="preserve">F) OUTROS </t>
  </si>
  <si>
    <t xml:space="preserve">SUBTOTAL </t>
  </si>
  <si>
    <t>G) Incid. 4.1 s/ custo rep prof ausente</t>
  </si>
  <si>
    <t>TOTAL DO GRUPO 4.5</t>
  </si>
  <si>
    <t xml:space="preserve">QUADRO RESUMO MÓDULO 4: ENCARGOS SOCIAIS E TRABALHISTAS </t>
  </si>
  <si>
    <t xml:space="preserve">RESUMO </t>
  </si>
  <si>
    <t xml:space="preserve">4.1. Encargos Previdenc. e FGTS </t>
  </si>
  <si>
    <t>4.2. 13º Sal</t>
  </si>
  <si>
    <t xml:space="preserve">4.3. Afastamento Maternidade </t>
  </si>
  <si>
    <t xml:space="preserve">4.4. Provisão p/ rescisão </t>
  </si>
  <si>
    <t xml:space="preserve">4.5. Custo de Repos. Prof. Ausente </t>
  </si>
  <si>
    <t xml:space="preserve">TOTAL DO MÓDULO 4  </t>
  </si>
  <si>
    <t xml:space="preserve">VALOR DOS CUSTOS DIRETOS </t>
  </si>
  <si>
    <t>MODULO 1+MÓDULO 2+MÓDULO 3+MÓDULO 4</t>
  </si>
  <si>
    <t xml:space="preserve">MÓDULO 5: CUSTOS INDIRETOS, TRIBUTOS E LUCRO </t>
  </si>
  <si>
    <t>OPÇÃO TRIBUTAÇÃO: LUCRO REAL, PRESUMIDO OU SIMPLES</t>
  </si>
  <si>
    <t>ESCOLHER OPÇÃO DO REGIME DE TRIBUTAÇÃO:</t>
  </si>
  <si>
    <t>LUCRO REAL</t>
  </si>
  <si>
    <r>
      <rPr>
        <rFont val="Calibri"/>
        <color rgb="FFFFFFFF"/>
        <sz val="11.0"/>
      </rPr>
      <t xml:space="preserve">LUCRO </t>
    </r>
    <r>
      <rPr>
        <rFont val="Calibri"/>
        <b/>
        <color rgb="FFFF0000"/>
        <sz val="11.0"/>
      </rPr>
      <t>"REAL"</t>
    </r>
  </si>
  <si>
    <r>
      <rPr>
        <rFont val="Calibri"/>
        <b/>
        <color rgb="FFFFFFFF"/>
        <sz val="11.0"/>
      </rPr>
      <t>LUCRO</t>
    </r>
    <r>
      <rPr>
        <rFont val="Calibri"/>
        <b/>
        <color rgb="FF000000"/>
        <sz val="11.0"/>
      </rPr>
      <t xml:space="preserve"> </t>
    </r>
    <r>
      <rPr>
        <rFont val="Calibri"/>
        <b/>
        <color rgb="FFFF0000"/>
        <sz val="11.0"/>
      </rPr>
      <t>"PRESUMIDO"</t>
    </r>
    <r>
      <rPr>
        <rFont val="Calibri"/>
        <b/>
        <color rgb="FF000000"/>
        <sz val="11.0"/>
      </rPr>
      <t xml:space="preserve"> OU</t>
    </r>
  </si>
  <si>
    <r>
      <rPr>
        <rFont val="Calibri"/>
        <b/>
        <color rgb="FFFF0000"/>
        <sz val="11.0"/>
      </rPr>
      <t>"SIMPLES"</t>
    </r>
    <r>
      <rPr>
        <rFont val="Calibri"/>
        <b/>
        <color rgb="FF000000"/>
        <sz val="11.0"/>
      </rPr>
      <t>.</t>
    </r>
  </si>
  <si>
    <t xml:space="preserve">APURAÇÃO DO CUSTO INDIRETO </t>
  </si>
  <si>
    <t>CUSTOS INDIRETOS</t>
  </si>
  <si>
    <t>% S/ CD</t>
  </si>
  <si>
    <t>Despesas administrativas</t>
  </si>
  <si>
    <t xml:space="preserve"> TOTAL DOS CUSTOS INDIRETOS </t>
  </si>
  <si>
    <t>APURAÇÃO DO LUCRO</t>
  </si>
  <si>
    <t>Lucro</t>
  </si>
  <si>
    <t>TOTAL DO LUCRO</t>
  </si>
  <si>
    <t>APURAÇÃO DO CUSTO TRIBUTÁRIO</t>
  </si>
  <si>
    <t xml:space="preserve">TRIBUTOS </t>
  </si>
  <si>
    <t>% S/ BC</t>
  </si>
  <si>
    <t>ISS</t>
  </si>
  <si>
    <t>COFINS</t>
  </si>
  <si>
    <t xml:space="preserve">PIS </t>
  </si>
  <si>
    <t>TOTAL DOS TRIBUTOS</t>
  </si>
  <si>
    <t xml:space="preserve">TOTAL DO MÓDULO 5 </t>
  </si>
  <si>
    <t>TOTAL POR EMPREGADO</t>
  </si>
  <si>
    <t>Total da Planilha por empregado</t>
  </si>
  <si>
    <t xml:space="preserve">Quadro Resumo do custo por empregado </t>
  </si>
  <si>
    <t xml:space="preserve">MÃO-DE-OBRA vinculada à execução contratula (valor por empregado) </t>
  </si>
  <si>
    <t xml:space="preserve">Valor Mensal R$ </t>
  </si>
  <si>
    <t xml:space="preserve">a) MÓDULO 1 - composição da Remuneração </t>
  </si>
  <si>
    <t xml:space="preserve">b) MÓDULO 2-Benefícios Mensias e Diários </t>
  </si>
  <si>
    <t xml:space="preserve">c) MÓDULO 3-Insumos Diversos </t>
  </si>
  <si>
    <t xml:space="preserve">d) MÓDULO 4 -Encargos Sociais e Trabalhistas </t>
  </si>
  <si>
    <t>SubTotal (A+B+C+D)</t>
  </si>
  <si>
    <t xml:space="preserve">e) MÓDULO 5 - Custos Indiretos, Tributos e Lucro </t>
  </si>
  <si>
    <t xml:space="preserve">VALOR TOTAL POR EMPREGADO </t>
  </si>
  <si>
    <t>OBJETO</t>
  </si>
  <si>
    <t>QTDE POSTOS</t>
  </si>
  <si>
    <t>CUSTO UN</t>
  </si>
  <si>
    <t>CUSTO</t>
  </si>
  <si>
    <t>MENSAL</t>
  </si>
  <si>
    <t>POSTO DE VIGIA DIURNO</t>
  </si>
  <si>
    <r>
      <rPr>
        <rFont val="Calibri"/>
        <b/>
        <color theme="1"/>
        <sz val="11.0"/>
      </rPr>
      <t xml:space="preserve">Regime Tributário da Empresa: </t>
    </r>
    <r>
      <rPr>
        <rFont val="Calibri"/>
        <b/>
        <color rgb="FFFF0000"/>
        <sz val="11.0"/>
      </rPr>
      <t xml:space="preserve"> LUCRO REAL</t>
    </r>
  </si>
  <si>
    <t>VIGIA NOTURNO</t>
  </si>
  <si>
    <t>Adicional Noturno</t>
  </si>
  <si>
    <t>Hora extra Reduzido Noturna</t>
  </si>
  <si>
    <t>CCT 2024 cláusula 14ª Lei 7.418/95; 
OBS: Caso o transporte seja feito pela própria empresa apresentar justificativa e os custos relativos a essa forma de transporte.</t>
  </si>
  <si>
    <r>
      <rPr>
        <rFont val="Calibri"/>
        <color theme="1"/>
        <sz val="11.0"/>
      </rPr>
      <t xml:space="preserve">CCT 2020 cláusula 13ª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</si>
  <si>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1"/>
        <sz val="11.0"/>
      </rPr>
      <t xml:space="preserve">CCT 2020 cláusula 16ª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</si>
  <si>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1"/>
        <sz val="11.0"/>
      </rPr>
      <t xml:space="preserve">CCT 2020 cláusula 15ª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</si>
  <si>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1"/>
        <sz val="11.0"/>
      </rPr>
      <t xml:space="preserve"> CCT 2020 cláusula 22ª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</si>
  <si>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Calibri"/>
        <b/>
        <color rgb="FFFF0000"/>
        <sz val="10.0"/>
      </rPr>
      <t xml:space="preserve">
</t>
    </r>
  </si>
  <si>
    <r>
      <rPr>
        <rFont val="Calibri"/>
        <color rgb="FFFFFFFF"/>
        <sz val="11.0"/>
      </rPr>
      <t xml:space="preserve">LUCRO </t>
    </r>
    <r>
      <rPr>
        <rFont val="Calibri"/>
        <b/>
        <color rgb="FFFF0000"/>
        <sz val="11.0"/>
      </rPr>
      <t>"REAL"</t>
    </r>
  </si>
  <si>
    <r>
      <rPr>
        <rFont val="Calibri"/>
        <b/>
        <color rgb="FFFFFFFF"/>
        <sz val="11.0"/>
      </rPr>
      <t>LUCRO</t>
    </r>
    <r>
      <rPr>
        <rFont val="Calibri"/>
        <b/>
        <color rgb="FF000000"/>
        <sz val="11.0"/>
      </rPr>
      <t xml:space="preserve"> </t>
    </r>
    <r>
      <rPr>
        <rFont val="Calibri"/>
        <b/>
        <color rgb="FFFF0000"/>
        <sz val="11.0"/>
      </rPr>
      <t>"PRESUMIDO"</t>
    </r>
    <r>
      <rPr>
        <rFont val="Calibri"/>
        <b/>
        <color rgb="FF000000"/>
        <sz val="11.0"/>
      </rPr>
      <t xml:space="preserve"> OU</t>
    </r>
  </si>
  <si>
    <r>
      <rPr>
        <rFont val="Calibri"/>
        <b/>
        <color rgb="FFFF0000"/>
        <sz val="11.0"/>
      </rPr>
      <t>"SIMPLES"</t>
    </r>
    <r>
      <rPr>
        <rFont val="Calibri"/>
        <b/>
        <color rgb="FF000000"/>
        <sz val="11.0"/>
      </rPr>
      <t>.</t>
    </r>
  </si>
  <si>
    <t>POSTO DE VIGIA NOTURNO</t>
  </si>
  <si>
    <r>
      <rPr>
        <rFont val="Calibri"/>
        <b/>
        <color theme="1"/>
        <sz val="11.0"/>
      </rPr>
      <t xml:space="preserve">Regime Tributário da Empresa: </t>
    </r>
    <r>
      <rPr>
        <rFont val="Calibri"/>
        <b/>
        <color rgb="FFFF0000"/>
        <sz val="11.0"/>
      </rPr>
      <t xml:space="preserve"> LUCRO REAL</t>
    </r>
  </si>
  <si>
    <t>VIGIA SDF</t>
  </si>
  <si>
    <r>
      <rPr>
        <rFont val="Calibri"/>
        <color theme="1"/>
        <sz val="11.0"/>
      </rPr>
      <t xml:space="preserve">CCT 2020 cláusula 13ª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</si>
  <si>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1"/>
        <sz val="11.0"/>
      </rPr>
      <t xml:space="preserve">CCT 2020 cláusula 16ª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</si>
  <si>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1"/>
        <sz val="11.0"/>
      </rPr>
      <t xml:space="preserve">CCT 2020 cláusula 15ª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</si>
  <si>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1"/>
        <sz val="11.0"/>
      </rPr>
      <t xml:space="preserve"> CCT 2020 cláusula 22ª </t>
    </r>
    <r>
      <rPr>
        <rFont val="Calibri"/>
        <b/>
        <color rgb="FF000000"/>
        <sz val="11.0"/>
      </rPr>
      <t xml:space="preserve"> </t>
    </r>
  </si>
  <si>
    <r>
      <rPr>
        <rFont val="Calibri"/>
        <color theme="0"/>
        <sz val="10.0"/>
      </rPr>
      <t xml:space="preserve">ESCOLHER OPÇÃO DO TIPO DE EMPRESA :
</t>
    </r>
    <r>
      <rPr>
        <rFont val="Calibri"/>
        <color rgb="FFFF0000"/>
        <sz val="10.0"/>
      </rPr>
      <t xml:space="preserve">"GERAL" </t>
    </r>
    <r>
      <rPr>
        <rFont val="Calibri"/>
        <b/>
        <color rgb="FFFF0000"/>
        <sz val="10.0"/>
      </rPr>
      <t xml:space="preserve">
</t>
    </r>
  </si>
  <si>
    <r>
      <rPr>
        <rFont val="Calibri"/>
        <color rgb="FFFFFFFF"/>
        <sz val="11.0"/>
      </rPr>
      <t xml:space="preserve">LUCRO </t>
    </r>
    <r>
      <rPr>
        <rFont val="Calibri"/>
        <b/>
        <color rgb="FFFF0000"/>
        <sz val="11.0"/>
      </rPr>
      <t>"REAL"</t>
    </r>
  </si>
  <si>
    <r>
      <rPr>
        <rFont val="Calibri"/>
        <b/>
        <color rgb="FFFFFFFF"/>
        <sz val="11.0"/>
      </rPr>
      <t>LUCRO</t>
    </r>
    <r>
      <rPr>
        <rFont val="Calibri"/>
        <b/>
        <color rgb="FF000000"/>
        <sz val="11.0"/>
      </rPr>
      <t xml:space="preserve"> </t>
    </r>
    <r>
      <rPr>
        <rFont val="Calibri"/>
        <b/>
        <color rgb="FFFF0000"/>
        <sz val="11.0"/>
      </rPr>
      <t>"PRESUMIDO"</t>
    </r>
    <r>
      <rPr>
        <rFont val="Calibri"/>
        <b/>
        <color rgb="FF000000"/>
        <sz val="11.0"/>
      </rPr>
      <t xml:space="preserve"> OU</t>
    </r>
  </si>
  <si>
    <r>
      <rPr>
        <rFont val="Calibri"/>
        <b/>
        <color rgb="FFFF0000"/>
        <sz val="11.0"/>
      </rPr>
      <t>"SIMPLES"</t>
    </r>
    <r>
      <rPr>
        <rFont val="Calibri"/>
        <b/>
        <color rgb="FF000000"/>
        <sz val="11.0"/>
      </rPr>
      <t>.</t>
    </r>
  </si>
  <si>
    <t>POSTO DE VIGIA SDF</t>
  </si>
  <si>
    <t>SECRETARIA MUNICIPAL DE ADMINISTRAÇÃO</t>
  </si>
  <si>
    <t>SALDO ATUAL PARA 4 MESES - 01/02/2018 A 31/05/2018 - COM A CONVENÇÃO ANTERIOR</t>
  </si>
  <si>
    <t>POSTOS</t>
  </si>
  <si>
    <t xml:space="preserve">CUSTO UN </t>
  </si>
  <si>
    <t>CUSTO TOTAL (4 MESES)</t>
  </si>
  <si>
    <t>I</t>
  </si>
  <si>
    <t>Serviços de Copeiragem</t>
  </si>
  <si>
    <t>7 postos</t>
  </si>
  <si>
    <t>#REF!</t>
  </si>
  <si>
    <t>SUB-TOTAL</t>
  </si>
  <si>
    <t>SECRETARIA DE ADMINISTRAÇÃO</t>
  </si>
  <si>
    <t>ÁREA</t>
  </si>
  <si>
    <t>METRO</t>
  </si>
  <si>
    <t>II</t>
  </si>
  <si>
    <t>Limpeza Áreas Internas</t>
  </si>
  <si>
    <t>#ERROR!</t>
  </si>
  <si>
    <t>III</t>
  </si>
  <si>
    <t>Limpeza Áreas Externas</t>
  </si>
  <si>
    <t>IV</t>
  </si>
  <si>
    <t>Limpeza Áreas de Vidros e Esquadrias</t>
  </si>
  <si>
    <t>SECRETARIA DE GOVERNO</t>
  </si>
  <si>
    <t>SECRETARIA DE SAÚDE</t>
  </si>
  <si>
    <t>V</t>
  </si>
  <si>
    <t>VI</t>
  </si>
  <si>
    <t>VII</t>
  </si>
  <si>
    <t>VIII</t>
  </si>
  <si>
    <t>Limpeza Áreas Internas Insalubridade</t>
  </si>
  <si>
    <t>IX</t>
  </si>
  <si>
    <t>Limpeza Áreas Externas Insalubridade</t>
  </si>
  <si>
    <t>SECRETARIA DE EDUCAÇÃO</t>
  </si>
  <si>
    <t>X</t>
  </si>
  <si>
    <t>Limpeza Áreas Internas SEMED</t>
  </si>
  <si>
    <t>XI</t>
  </si>
  <si>
    <t>Limpeza Áreas Externas SEMED</t>
  </si>
  <si>
    <t>XII</t>
  </si>
  <si>
    <t>1 postos</t>
  </si>
  <si>
    <t>SALDO ATUAL PARA 4 MESES - 01/02/2019 A 31/05/2019 -COM A NOVA CONVENÇÃO E COM 9º, 11º, 12º ADITAMENTO INCLUSOS</t>
  </si>
  <si>
    <t>9 postos</t>
  </si>
  <si>
    <t>1 posto</t>
  </si>
  <si>
    <t>* o 10º aditamento é de prazo</t>
  </si>
  <si>
    <t>REEQUILÍBRIO PARA 4 MESES - 01/02/2019 A 31/05/2019 - COM A NOVA CONVENÇÃO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</si>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</sst>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_-&quot;R$&quot;\ * #,##0.00_-;\-&quot;R$&quot;\ * #,##0.00_-;_-&quot;R$&quot;\ * &quot;-&quot;??_-;_-@"/>
    <numFmt numFmtId="165" formatCode="dd/MM/yyyy"/>
    <numFmt numFmtId="166" formatCode="&quot;R$ &quot;#,##0.00_);[Red]\(&quot;R$ &quot;#,##0.00\)"/>
    <numFmt numFmtId="167" formatCode="0.000%"/>
    <numFmt numFmtId="168" formatCode="_-* #,##0.00_-;\-* #,##0.00_-;_-* &quot;-&quot;??_-;_-@"/>
    <numFmt numFmtId="169" formatCode="_-&quot;R$&quot;* #,##0.00_-;\-&quot;R$&quot;* #,##0.00_-;_-&quot;R$&quot;* &quot;-&quot;??_-;_-@"/>
    <numFmt numFmtId="170" formatCode="0.000000000"/>
    <numFmt numFmtId="171" formatCode="_-&quot;R$&quot;\ * #,##0.000000_-;\-&quot;R$&quot;\ * #,##0.000000_-;_-&quot;R$&quot;\ * &quot;-&quot;??_-;_-@"/>
    <numFmt numFmtId="172" formatCode="_-&quot;R$&quot;\ * #,##0.0000_-;\-&quot;R$&quot;\ * #,##0.0000_-;_-&quot;R$&quot;\ * &quot;-&quot;??_-;_-@"/>
  </numFmts>
  <fonts count="30">
    <font>
      <sz val="11.0"/>
      <color theme="1"/>
      <name val="Calibri"/>
      <scheme val="minor"/>
    </font>
    <font>
      <sz val="12.0"/>
      <color theme="1"/>
      <name val="Calibri"/>
    </font>
    <font>
      <sz val="11.0"/>
      <color theme="1"/>
      <name val="Arial"/>
    </font>
    <font>
      <b/>
      <sz val="12.0"/>
      <color theme="1"/>
      <name val="Calibri"/>
    </font>
    <font>
      <b/>
      <sz val="12.0"/>
      <color rgb="FF000000"/>
      <name val="Calibri"/>
    </font>
    <font/>
    <font>
      <sz val="12.0"/>
      <color rgb="FF000000"/>
      <name val="Calibri"/>
    </font>
    <font>
      <sz val="8.0"/>
      <color theme="1"/>
      <name val="Arial"/>
    </font>
    <font>
      <b/>
      <sz val="11.0"/>
      <color theme="1"/>
      <name val="Calibri"/>
    </font>
    <font>
      <sz val="11.0"/>
      <color theme="1"/>
      <name val="Calibri"/>
    </font>
    <font>
      <b/>
      <sz val="11.0"/>
      <color rgb="FFFF0000"/>
      <name val="Calibri"/>
    </font>
    <font>
      <sz val="11.0"/>
      <color rgb="FFFF0000"/>
      <name val="Calibri"/>
    </font>
    <font>
      <sz val="7.0"/>
      <color theme="1"/>
      <name val="Calibri"/>
    </font>
    <font>
      <sz val="10.0"/>
      <color theme="0"/>
      <name val="Calibri"/>
    </font>
    <font>
      <b/>
      <sz val="9.0"/>
      <color theme="1"/>
      <name val="Calibri"/>
    </font>
    <font>
      <sz val="9.0"/>
      <color theme="1"/>
      <name val="Calibri"/>
    </font>
    <font>
      <b/>
      <sz val="11.0"/>
      <color rgb="FF000000"/>
      <name val="Calibri"/>
    </font>
    <font>
      <sz val="11.0"/>
      <color rgb="FFFFFFFF"/>
      <name val="Calibri"/>
    </font>
    <font>
      <b/>
      <sz val="11.0"/>
      <color rgb="FFFFFFFF"/>
      <name val="Calibri"/>
    </font>
    <font>
      <b/>
      <sz val="13.0"/>
      <color theme="1"/>
      <name val="Arial"/>
    </font>
    <font>
      <sz val="9.0"/>
      <color theme="1"/>
      <name val="Arial"/>
    </font>
    <font>
      <b/>
      <sz val="12.0"/>
      <color theme="1"/>
      <name val="Arial"/>
    </font>
    <font>
      <b/>
      <i/>
      <sz val="10.0"/>
      <color theme="1"/>
      <name val="Arial"/>
    </font>
    <font>
      <b/>
      <sz val="12.0"/>
      <color rgb="FF000000"/>
      <name val="Arial"/>
    </font>
    <font>
      <sz val="12.0"/>
      <color rgb="FF000000"/>
      <name val="Arial"/>
    </font>
    <font>
      <sz val="12.0"/>
      <color theme="0"/>
      <name val="Arial"/>
    </font>
    <font>
      <b/>
      <sz val="18.0"/>
      <color rgb="FF000000"/>
      <name val="Arial"/>
    </font>
    <font>
      <sz val="10.0"/>
      <color theme="1"/>
      <name val="Calibri"/>
    </font>
    <font>
      <sz val="18.0"/>
      <color theme="1"/>
      <name val="Calibri"/>
    </font>
    <font>
      <sz val="12.0"/>
      <color theme="1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366092"/>
        <bgColor rgb="FF366092"/>
      </patternFill>
    </fill>
    <fill>
      <patternFill patternType="solid">
        <fgColor rgb="FF333399"/>
        <bgColor rgb="FF333399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</fills>
  <borders count="5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/>
      <right/>
      <top/>
    </border>
    <border>
      <left/>
      <right/>
    </border>
    <border>
      <left/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/>
      <bottom/>
    </border>
    <border>
      <left style="medium">
        <color rgb="FF000000"/>
      </left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</borders>
  <cellStyleXfs count="1">
    <xf borderId="0" fillId="0" fontId="0" numFmtId="0" applyAlignment="1" applyFont="1"/>
  </cellStyleXfs>
  <cellXfs count="19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Font="1"/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left" shrinkToFit="0" wrapText="1"/>
    </xf>
    <xf borderId="0" fillId="0" fontId="2" numFmtId="0" xfId="0" applyAlignment="1" applyFont="1">
      <alignment vertical="center"/>
    </xf>
    <xf borderId="1" fillId="0" fontId="4" numFmtId="0" xfId="0" applyAlignment="1" applyBorder="1" applyFont="1">
      <alignment horizontal="center" shrinkToFit="0" vertical="center" wrapText="1"/>
    </xf>
    <xf borderId="2" fillId="0" fontId="5" numFmtId="0" xfId="0" applyBorder="1" applyFont="1"/>
    <xf borderId="3" fillId="0" fontId="5" numFmtId="0" xfId="0" applyBorder="1" applyFont="1"/>
    <xf borderId="1" fillId="2" fontId="1" numFmtId="0" xfId="0" applyAlignment="1" applyBorder="1" applyFill="1" applyFont="1">
      <alignment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7" numFmtId="0" xfId="0" applyAlignment="1" applyBorder="1" applyFont="1">
      <alignment horizontal="center" shrinkToFit="0" vertical="center" wrapText="1"/>
    </xf>
    <xf borderId="4" fillId="3" fontId="6" numFmtId="0" xfId="0" applyAlignment="1" applyBorder="1" applyFill="1" applyFont="1">
      <alignment horizontal="center" shrinkToFit="0" vertical="center" wrapText="1"/>
    </xf>
    <xf borderId="4" fillId="3" fontId="6" numFmtId="164" xfId="0" applyAlignment="1" applyBorder="1" applyFont="1" applyNumberFormat="1">
      <alignment horizontal="center" shrinkToFit="0" vertical="center" wrapText="1"/>
    </xf>
    <xf borderId="4" fillId="0" fontId="4" numFmtId="164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center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vertical="center"/>
    </xf>
    <xf borderId="0" fillId="0" fontId="9" numFmtId="0" xfId="0" applyAlignment="1" applyFont="1">
      <alignment vertical="center"/>
    </xf>
    <xf borderId="0" fillId="0" fontId="8" numFmtId="0" xfId="0" applyAlignment="1" applyFont="1">
      <alignment horizontal="left" vertical="center"/>
    </xf>
    <xf borderId="1" fillId="4" fontId="8" numFmtId="0" xfId="0" applyAlignment="1" applyBorder="1" applyFill="1" applyFont="1">
      <alignment horizontal="center" vertical="center"/>
    </xf>
    <xf borderId="4" fillId="0" fontId="8" numFmtId="0" xfId="0" applyAlignment="1" applyBorder="1" applyFont="1">
      <alignment vertical="center"/>
    </xf>
    <xf borderId="1" fillId="5" fontId="8" numFmtId="0" xfId="0" applyAlignment="1" applyBorder="1" applyFill="1" applyFont="1">
      <alignment horizontal="center" vertical="center"/>
    </xf>
    <xf borderId="1" fillId="0" fontId="8" numFmtId="0" xfId="0" applyAlignment="1" applyBorder="1" applyFont="1">
      <alignment horizontal="center" vertical="center"/>
    </xf>
    <xf borderId="4" fillId="0" fontId="8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left" vertical="center"/>
    </xf>
    <xf borderId="4" fillId="0" fontId="8" numFmtId="0" xfId="0" applyAlignment="1" applyBorder="1" applyFont="1">
      <alignment horizontal="center" vertical="center"/>
    </xf>
    <xf borderId="4" fillId="0" fontId="10" numFmtId="165" xfId="0" applyAlignment="1" applyBorder="1" applyFont="1" applyNumberFormat="1">
      <alignment horizontal="center" readingOrder="0" vertical="center"/>
    </xf>
    <xf borderId="5" fillId="0" fontId="9" numFmtId="0" xfId="0" applyAlignment="1" applyBorder="1" applyFont="1">
      <alignment horizontal="center" vertical="center"/>
    </xf>
    <xf borderId="6" fillId="0" fontId="5" numFmtId="0" xfId="0" applyBorder="1" applyFont="1"/>
    <xf borderId="7" fillId="0" fontId="5" numFmtId="0" xfId="0" applyBorder="1" applyFont="1"/>
    <xf borderId="8" fillId="0" fontId="5" numFmtId="0" xfId="0" applyBorder="1" applyFont="1"/>
    <xf borderId="9" fillId="0" fontId="5" numFmtId="0" xfId="0" applyBorder="1" applyFont="1"/>
    <xf borderId="10" fillId="0" fontId="5" numFmtId="0" xfId="0" applyBorder="1" applyFont="1"/>
    <xf borderId="1" fillId="0" fontId="8" numFmtId="0" xfId="0" applyAlignment="1" applyBorder="1" applyFont="1">
      <alignment vertical="center"/>
    </xf>
    <xf borderId="4" fillId="0" fontId="9" numFmtId="164" xfId="0" applyAlignment="1" applyBorder="1" applyFont="1" applyNumberFormat="1">
      <alignment vertical="center"/>
    </xf>
    <xf borderId="4" fillId="0" fontId="10" numFmtId="0" xfId="0" applyAlignment="1" applyBorder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center" vertical="center"/>
    </xf>
    <xf borderId="4" fillId="6" fontId="8" numFmtId="0" xfId="0" applyAlignment="1" applyBorder="1" applyFill="1" applyFont="1">
      <alignment horizontal="left" vertical="center"/>
    </xf>
    <xf borderId="4" fillId="6" fontId="8" numFmtId="0" xfId="0" applyAlignment="1" applyBorder="1" applyFont="1">
      <alignment horizontal="center" vertical="center"/>
    </xf>
    <xf borderId="4" fillId="6" fontId="8" numFmtId="0" xfId="0" applyAlignment="1" applyBorder="1" applyFont="1">
      <alignment horizontal="center" shrinkToFit="0" vertical="center" wrapText="1"/>
    </xf>
    <xf borderId="4" fillId="0" fontId="9" numFmtId="0" xfId="0" applyAlignment="1" applyBorder="1" applyFont="1">
      <alignment vertical="center"/>
    </xf>
    <xf borderId="4" fillId="0" fontId="9" numFmtId="0" xfId="0" applyAlignment="1" applyBorder="1" applyFont="1">
      <alignment horizontal="center" vertical="center"/>
    </xf>
    <xf borderId="4" fillId="0" fontId="9" numFmtId="0" xfId="0" applyAlignment="1" applyBorder="1" applyFont="1">
      <alignment horizontal="left" vertical="center"/>
    </xf>
    <xf borderId="4" fillId="0" fontId="9" numFmtId="10" xfId="0" applyAlignment="1" applyBorder="1" applyFont="1" applyNumberFormat="1">
      <alignment horizontal="center" vertical="center"/>
    </xf>
    <xf borderId="4" fillId="0" fontId="9" numFmtId="0" xfId="0" applyAlignment="1" applyBorder="1" applyFont="1">
      <alignment horizontal="left" shrinkToFit="0" vertical="center" wrapText="1"/>
    </xf>
    <xf borderId="4" fillId="0" fontId="8" numFmtId="164" xfId="0" applyAlignment="1" applyBorder="1" applyFont="1" applyNumberFormat="1">
      <alignment vertical="center"/>
    </xf>
    <xf borderId="5" fillId="0" fontId="8" numFmtId="0" xfId="0" applyAlignment="1" applyBorder="1" applyFont="1">
      <alignment horizontal="left" vertical="center"/>
    </xf>
    <xf borderId="8" fillId="0" fontId="8" numFmtId="0" xfId="0" applyAlignment="1" applyBorder="1" applyFont="1">
      <alignment vertical="center"/>
    </xf>
    <xf borderId="4" fillId="0" fontId="8" numFmtId="0" xfId="0" applyAlignment="1" applyBorder="1" applyFont="1">
      <alignment horizontal="left" vertical="center"/>
    </xf>
    <xf borderId="4" fillId="0" fontId="8" numFmtId="10" xfId="0" applyAlignment="1" applyBorder="1" applyFont="1" applyNumberFormat="1">
      <alignment horizontal="center" vertical="center"/>
    </xf>
    <xf borderId="4" fillId="0" fontId="11" numFmtId="164" xfId="0" applyAlignment="1" applyBorder="1" applyFont="1" applyNumberFormat="1">
      <alignment vertical="center"/>
    </xf>
    <xf borderId="4" fillId="0" fontId="12" numFmtId="0" xfId="0" applyAlignment="1" applyBorder="1" applyFont="1">
      <alignment horizontal="left" shrinkToFit="0" vertical="center" wrapText="1"/>
    </xf>
    <xf borderId="4" fillId="0" fontId="11" numFmtId="164" xfId="0" applyAlignment="1" applyBorder="1" applyFont="1" applyNumberFormat="1">
      <alignment horizontal="right" vertical="center"/>
    </xf>
    <xf borderId="4" fillId="0" fontId="10" numFmtId="164" xfId="0" applyAlignment="1" applyBorder="1" applyFont="1" applyNumberFormat="1">
      <alignment horizontal="right" vertical="center"/>
    </xf>
    <xf borderId="1" fillId="0" fontId="8" numFmtId="0" xfId="0" applyAlignment="1" applyBorder="1" applyFont="1">
      <alignment horizontal="left" vertical="center"/>
    </xf>
    <xf borderId="4" fillId="0" fontId="8" numFmtId="164" xfId="0" applyAlignment="1" applyBorder="1" applyFont="1" applyNumberFormat="1">
      <alignment horizontal="right" vertical="center"/>
    </xf>
    <xf borderId="11" fillId="0" fontId="10" numFmtId="0" xfId="0" applyAlignment="1" applyBorder="1" applyFont="1">
      <alignment horizontal="left" vertical="center"/>
    </xf>
    <xf borderId="12" fillId="0" fontId="5" numFmtId="0" xfId="0" applyBorder="1" applyFont="1"/>
    <xf borderId="13" fillId="7" fontId="13" numFmtId="166" xfId="0" applyAlignment="1" applyBorder="1" applyFill="1" applyFont="1" applyNumberFormat="1">
      <alignment horizontal="center" shrinkToFit="0" vertical="center" wrapText="1"/>
    </xf>
    <xf borderId="14" fillId="0" fontId="5" numFmtId="0" xfId="0" applyBorder="1" applyFont="1"/>
    <xf borderId="15" fillId="0" fontId="5" numFmtId="0" xfId="0" applyBorder="1" applyFont="1"/>
    <xf borderId="16" fillId="7" fontId="13" numFmtId="166" xfId="0" applyAlignment="1" applyBorder="1" applyFont="1" applyNumberFormat="1">
      <alignment horizontal="center" vertical="center"/>
    </xf>
    <xf borderId="4" fillId="0" fontId="14" numFmtId="0" xfId="0" applyAlignment="1" applyBorder="1" applyFont="1">
      <alignment horizontal="center" shrinkToFit="0" vertical="center" wrapText="1"/>
    </xf>
    <xf borderId="4" fillId="0" fontId="9" numFmtId="164" xfId="0" applyAlignment="1" applyBorder="1" applyFont="1" applyNumberFormat="1">
      <alignment horizontal="right" vertical="center"/>
    </xf>
    <xf borderId="4" fillId="0" fontId="15" numFmtId="0" xfId="0" applyAlignment="1" applyBorder="1" applyFont="1">
      <alignment horizontal="left" shrinkToFit="0" vertical="center" wrapText="1"/>
    </xf>
    <xf borderId="0" fillId="0" fontId="9" numFmtId="164" xfId="0" applyAlignment="1" applyFont="1" applyNumberFormat="1">
      <alignment vertical="center"/>
    </xf>
    <xf borderId="4" fillId="6" fontId="9" numFmtId="0" xfId="0" applyAlignment="1" applyBorder="1" applyFont="1">
      <alignment vertical="center"/>
    </xf>
    <xf borderId="4" fillId="6" fontId="9" numFmtId="10" xfId="0" applyAlignment="1" applyBorder="1" applyFont="1" applyNumberFormat="1">
      <alignment horizontal="center" vertical="center"/>
    </xf>
    <xf borderId="4" fillId="6" fontId="9" numFmtId="164" xfId="0" applyAlignment="1" applyBorder="1" applyFont="1" applyNumberFormat="1">
      <alignment horizontal="right" vertical="center"/>
    </xf>
    <xf borderId="4" fillId="6" fontId="15" numFmtId="0" xfId="0" applyAlignment="1" applyBorder="1" applyFont="1">
      <alignment horizontal="left" shrinkToFit="0" vertical="center" wrapText="1"/>
    </xf>
    <xf borderId="4" fillId="6" fontId="8" numFmtId="0" xfId="0" applyAlignment="1" applyBorder="1" applyFont="1">
      <alignment vertical="center"/>
    </xf>
    <xf borderId="4" fillId="6" fontId="8" numFmtId="10" xfId="0" applyAlignment="1" applyBorder="1" applyFont="1" applyNumberFormat="1">
      <alignment horizontal="center" vertical="center"/>
    </xf>
    <xf borderId="4" fillId="6" fontId="8" numFmtId="164" xfId="0" applyAlignment="1" applyBorder="1" applyFont="1" applyNumberFormat="1">
      <alignment horizontal="right" vertical="center"/>
    </xf>
    <xf borderId="4" fillId="6" fontId="9" numFmtId="0" xfId="0" applyAlignment="1" applyBorder="1" applyFont="1">
      <alignment horizontal="left" shrinkToFit="0" vertical="center" wrapText="1"/>
    </xf>
    <xf borderId="1" fillId="6" fontId="9" numFmtId="0" xfId="0" applyAlignment="1" applyBorder="1" applyFont="1">
      <alignment horizontal="center" vertical="center"/>
    </xf>
    <xf borderId="1" fillId="6" fontId="8" numFmtId="0" xfId="0" applyAlignment="1" applyBorder="1" applyFont="1">
      <alignment horizontal="left" vertical="center"/>
    </xf>
    <xf borderId="4" fillId="6" fontId="9" numFmtId="167" xfId="0" applyAlignment="1" applyBorder="1" applyFont="1" applyNumberFormat="1">
      <alignment horizontal="center" vertical="center"/>
    </xf>
    <xf borderId="4" fillId="6" fontId="8" numFmtId="167" xfId="0" applyAlignment="1" applyBorder="1" applyFont="1" applyNumberFormat="1">
      <alignment horizontal="center" vertical="center"/>
    </xf>
    <xf borderId="4" fillId="6" fontId="9" numFmtId="0" xfId="0" applyAlignment="1" applyBorder="1" applyFont="1">
      <alignment shrinkToFit="0" vertical="center" wrapText="1"/>
    </xf>
    <xf borderId="4" fillId="6" fontId="9" numFmtId="164" xfId="0" applyAlignment="1" applyBorder="1" applyFont="1" applyNumberFormat="1">
      <alignment horizontal="center" vertical="center"/>
    </xf>
    <xf borderId="4" fillId="6" fontId="9" numFmtId="0" xfId="0" applyAlignment="1" applyBorder="1" applyFont="1">
      <alignment horizontal="center" vertical="center"/>
    </xf>
    <xf borderId="4" fillId="6" fontId="9" numFmtId="168" xfId="0" applyAlignment="1" applyBorder="1" applyFont="1" applyNumberFormat="1">
      <alignment vertical="center"/>
    </xf>
    <xf borderId="4" fillId="6" fontId="8" numFmtId="168" xfId="0" applyAlignment="1" applyBorder="1" applyFont="1" applyNumberFormat="1">
      <alignment horizontal="right" vertical="center"/>
    </xf>
    <xf borderId="1" fillId="6" fontId="16" numFmtId="164" xfId="0" applyAlignment="1" applyBorder="1" applyFont="1" applyNumberFormat="1">
      <alignment horizontal="center" vertical="center"/>
    </xf>
    <xf borderId="4" fillId="6" fontId="8" numFmtId="0" xfId="0" applyAlignment="1" applyBorder="1" applyFont="1">
      <alignment shrinkToFit="0" vertical="center" wrapText="1"/>
    </xf>
    <xf borderId="1" fillId="6" fontId="8" numFmtId="0" xfId="0" applyAlignment="1" applyBorder="1" applyFont="1">
      <alignment horizontal="center" vertical="center"/>
    </xf>
    <xf borderId="5" fillId="0" fontId="10" numFmtId="0" xfId="0" applyAlignment="1" applyBorder="1" applyFont="1">
      <alignment horizontal="left" vertical="center"/>
    </xf>
    <xf borderId="17" fillId="8" fontId="17" numFmtId="0" xfId="0" applyAlignment="1" applyBorder="1" applyFill="1" applyFont="1">
      <alignment horizontal="center" shrinkToFit="0" vertical="center" wrapText="1"/>
    </xf>
    <xf borderId="18" fillId="0" fontId="5" numFmtId="0" xfId="0" applyBorder="1" applyFont="1"/>
    <xf borderId="19" fillId="0" fontId="5" numFmtId="0" xfId="0" applyBorder="1" applyFont="1"/>
    <xf borderId="20" fillId="8" fontId="17" numFmtId="0" xfId="0" applyAlignment="1" applyBorder="1" applyFont="1">
      <alignment horizontal="center" vertical="center"/>
    </xf>
    <xf borderId="21" fillId="0" fontId="5" numFmtId="0" xfId="0" applyBorder="1" applyFont="1"/>
    <xf borderId="17" fillId="8" fontId="18" numFmtId="0" xfId="0" applyAlignment="1" applyBorder="1" applyFont="1">
      <alignment horizontal="center" shrinkToFit="0" vertical="center" wrapText="1"/>
    </xf>
    <xf borderId="17" fillId="8" fontId="10" numFmtId="0" xfId="0" applyAlignment="1" applyBorder="1" applyFont="1">
      <alignment horizontal="center" shrinkToFit="0" vertical="center" wrapText="1"/>
    </xf>
    <xf borderId="22" fillId="0" fontId="5" numFmtId="0" xfId="0" applyBorder="1" applyFont="1"/>
    <xf borderId="8" fillId="0" fontId="9" numFmtId="0" xfId="0" applyAlignment="1" applyBorder="1" applyFont="1">
      <alignment horizontal="center" vertical="center"/>
    </xf>
    <xf borderId="4" fillId="0" fontId="9" numFmtId="164" xfId="0" applyAlignment="1" applyBorder="1" applyFont="1" applyNumberFormat="1">
      <alignment horizontal="center" vertical="center"/>
    </xf>
    <xf borderId="4" fillId="0" fontId="8" numFmtId="0" xfId="0" applyAlignment="1" applyBorder="1" applyFont="1">
      <alignment shrinkToFit="0" vertical="center" wrapText="1"/>
    </xf>
    <xf borderId="2" fillId="0" fontId="8" numFmtId="0" xfId="0" applyAlignment="1" applyBorder="1" applyFont="1">
      <alignment horizontal="center" vertical="center"/>
    </xf>
    <xf borderId="1" fillId="9" fontId="8" numFmtId="0" xfId="0" applyAlignment="1" applyBorder="1" applyFill="1" applyFont="1">
      <alignment horizontal="center" vertical="center"/>
    </xf>
    <xf borderId="4" fillId="0" fontId="8" numFmtId="164" xfId="0" applyAlignment="1" applyBorder="1" applyFont="1" applyNumberFormat="1">
      <alignment horizontal="center" vertical="center"/>
    </xf>
    <xf borderId="1" fillId="10" fontId="8" numFmtId="0" xfId="0" applyAlignment="1" applyBorder="1" applyFill="1" applyFont="1">
      <alignment horizontal="center" vertical="center"/>
    </xf>
    <xf borderId="4" fillId="10" fontId="8" numFmtId="164" xfId="0" applyAlignment="1" applyBorder="1" applyFont="1" applyNumberFormat="1">
      <alignment horizontal="center" vertical="center"/>
    </xf>
    <xf borderId="23" fillId="3" fontId="8" numFmtId="0" xfId="0" applyAlignment="1" applyBorder="1" applyFont="1">
      <alignment horizontal="center" vertical="center"/>
    </xf>
    <xf borderId="24" fillId="3" fontId="8" numFmtId="0" xfId="0" applyAlignment="1" applyBorder="1" applyFont="1">
      <alignment horizontal="center" vertical="center"/>
    </xf>
    <xf borderId="25" fillId="3" fontId="8" numFmtId="0" xfId="0" applyAlignment="1" applyBorder="1" applyFont="1">
      <alignment horizontal="center" vertical="center"/>
    </xf>
    <xf borderId="26" fillId="0" fontId="5" numFmtId="0" xfId="0" applyBorder="1" applyFont="1"/>
    <xf borderId="27" fillId="0" fontId="5" numFmtId="0" xfId="0" applyBorder="1" applyFont="1"/>
    <xf borderId="28" fillId="3" fontId="8" numFmtId="0" xfId="0" applyAlignment="1" applyBorder="1" applyFont="1">
      <alignment horizontal="center" vertical="center"/>
    </xf>
    <xf borderId="16" fillId="3" fontId="9" numFmtId="0" xfId="0" applyAlignment="1" applyBorder="1" applyFont="1">
      <alignment vertical="center"/>
    </xf>
    <xf borderId="16" fillId="3" fontId="9" numFmtId="0" xfId="0" applyAlignment="1" applyBorder="1" applyFont="1">
      <alignment horizontal="center" readingOrder="0" vertical="center"/>
    </xf>
    <xf borderId="16" fillId="3" fontId="9" numFmtId="169" xfId="0" applyAlignment="1" applyBorder="1" applyFont="1" applyNumberFormat="1">
      <alignment horizontal="center" vertical="center"/>
    </xf>
    <xf borderId="16" fillId="3" fontId="9" numFmtId="0" xfId="0" applyAlignment="1" applyBorder="1" applyFont="1">
      <alignment readingOrder="0" vertical="center"/>
    </xf>
    <xf borderId="16" fillId="3" fontId="9" numFmtId="0" xfId="0" applyAlignment="1" applyBorder="1" applyFont="1">
      <alignment horizontal="center" vertical="center"/>
    </xf>
    <xf borderId="4" fillId="0" fontId="9" numFmtId="164" xfId="0" applyAlignment="1" applyBorder="1" applyFont="1" applyNumberFormat="1">
      <alignment readingOrder="0" vertical="center"/>
    </xf>
    <xf borderId="1" fillId="0" fontId="10" numFmtId="0" xfId="0" applyAlignment="1" applyBorder="1" applyFont="1">
      <alignment horizontal="center" readingOrder="0" shrinkToFit="0" vertical="center" wrapText="1"/>
    </xf>
    <xf borderId="0" fillId="0" fontId="19" numFmtId="0" xfId="0" applyAlignment="1" applyFont="1">
      <alignment horizontal="center" vertical="center"/>
    </xf>
    <xf borderId="0" fillId="0" fontId="20" numFmtId="4" xfId="0" applyAlignment="1" applyFont="1" applyNumberFormat="1">
      <alignment horizontal="center" vertical="center"/>
    </xf>
    <xf borderId="0" fillId="0" fontId="9" numFmtId="168" xfId="0" applyFont="1" applyNumberFormat="1"/>
    <xf borderId="0" fillId="0" fontId="21" numFmtId="0" xfId="0" applyAlignment="1" applyFont="1">
      <alignment horizontal="center" vertical="center"/>
    </xf>
    <xf borderId="0" fillId="0" fontId="20" numFmtId="0" xfId="0" applyAlignment="1" applyFont="1">
      <alignment horizontal="center" vertical="center"/>
    </xf>
    <xf borderId="29" fillId="0" fontId="22" numFmtId="0" xfId="0" applyAlignment="1" applyBorder="1" applyFont="1">
      <alignment horizontal="center"/>
    </xf>
    <xf borderId="29" fillId="0" fontId="5" numFmtId="0" xfId="0" applyBorder="1" applyFont="1"/>
    <xf borderId="30" fillId="3" fontId="23" numFmtId="0" xfId="0" applyAlignment="1" applyBorder="1" applyFont="1">
      <alignment horizontal="center" vertical="center"/>
    </xf>
    <xf borderId="31" fillId="3" fontId="23" numFmtId="0" xfId="0" applyAlignment="1" applyBorder="1" applyFont="1">
      <alignment horizontal="center" vertical="center"/>
    </xf>
    <xf borderId="32" fillId="0" fontId="5" numFmtId="0" xfId="0" applyBorder="1" applyFont="1"/>
    <xf borderId="33" fillId="3" fontId="23" numFmtId="0" xfId="0" applyAlignment="1" applyBorder="1" applyFont="1">
      <alignment vertical="center"/>
    </xf>
    <xf borderId="34" fillId="3" fontId="23" numFmtId="0" xfId="0" applyAlignment="1" applyBorder="1" applyFont="1">
      <alignment horizontal="center" shrinkToFit="0" vertical="center" wrapText="1"/>
    </xf>
    <xf borderId="35" fillId="0" fontId="5" numFmtId="0" xfId="0" applyBorder="1" applyFont="1"/>
    <xf borderId="36" fillId="0" fontId="5" numFmtId="0" xfId="0" applyBorder="1" applyFont="1"/>
    <xf borderId="37" fillId="0" fontId="5" numFmtId="0" xfId="0" applyBorder="1" applyFont="1"/>
    <xf borderId="38" fillId="3" fontId="23" numFmtId="0" xfId="0" applyAlignment="1" applyBorder="1" applyFont="1">
      <alignment vertical="center"/>
    </xf>
    <xf borderId="39" fillId="3" fontId="23" numFmtId="0" xfId="0" applyAlignment="1" applyBorder="1" applyFont="1">
      <alignment horizontal="center" shrinkToFit="0" vertical="center" wrapText="1"/>
    </xf>
    <xf borderId="0" fillId="0" fontId="9" numFmtId="164" xfId="0" applyFont="1" applyNumberFormat="1"/>
    <xf borderId="38" fillId="3" fontId="24" numFmtId="0" xfId="0" applyAlignment="1" applyBorder="1" applyFont="1">
      <alignment horizontal="center" vertical="center"/>
    </xf>
    <xf borderId="40" fillId="3" fontId="24" numFmtId="0" xfId="0" applyAlignment="1" applyBorder="1" applyFont="1">
      <alignment vertical="center"/>
    </xf>
    <xf borderId="41" fillId="0" fontId="5" numFmtId="0" xfId="0" applyBorder="1" applyFont="1"/>
    <xf borderId="40" fillId="3" fontId="24" numFmtId="0" xfId="0" applyAlignment="1" applyBorder="1" applyFont="1">
      <alignment horizontal="center" vertical="center"/>
    </xf>
    <xf borderId="38" fillId="6" fontId="24" numFmtId="164" xfId="0" applyAlignment="1" applyBorder="1" applyFont="1" applyNumberFormat="1">
      <alignment vertical="center"/>
    </xf>
    <xf borderId="39" fillId="3" fontId="24" numFmtId="164" xfId="0" applyAlignment="1" applyBorder="1" applyFont="1" applyNumberFormat="1">
      <alignment horizontal="center" vertical="center"/>
    </xf>
    <xf borderId="42" fillId="6" fontId="24" numFmtId="164" xfId="0" applyAlignment="1" applyBorder="1" applyFont="1" applyNumberFormat="1">
      <alignment horizontal="right" vertical="center"/>
    </xf>
    <xf borderId="40" fillId="4" fontId="23" numFmtId="0" xfId="0" applyAlignment="1" applyBorder="1" applyFont="1">
      <alignment horizontal="center" vertical="center"/>
    </xf>
    <xf borderId="43" fillId="0" fontId="5" numFmtId="0" xfId="0" applyBorder="1" applyFont="1"/>
    <xf borderId="42" fillId="4" fontId="23" numFmtId="164" xfId="0" applyAlignment="1" applyBorder="1" applyFont="1" applyNumberFormat="1">
      <alignment vertical="center"/>
    </xf>
    <xf borderId="40" fillId="6" fontId="23" numFmtId="0" xfId="0" applyAlignment="1" applyBorder="1" applyFont="1">
      <alignment horizontal="center" vertical="center"/>
    </xf>
    <xf borderId="44" fillId="0" fontId="5" numFmtId="0" xfId="0" applyBorder="1" applyFont="1"/>
    <xf borderId="45" fillId="3" fontId="23" numFmtId="0" xfId="0" applyAlignment="1" applyBorder="1" applyFont="1">
      <alignment vertical="center"/>
    </xf>
    <xf borderId="46" fillId="3" fontId="23" numFmtId="0" xfId="0" applyAlignment="1" applyBorder="1" applyFont="1">
      <alignment horizontal="center" shrinkToFit="0" vertical="center" wrapText="1"/>
    </xf>
    <xf borderId="47" fillId="0" fontId="5" numFmtId="0" xfId="0" applyBorder="1" applyFont="1"/>
    <xf borderId="48" fillId="3" fontId="23" numFmtId="0" xfId="0" applyAlignment="1" applyBorder="1" applyFont="1">
      <alignment horizontal="center" shrinkToFit="0" vertical="center" wrapText="1"/>
    </xf>
    <xf borderId="0" fillId="0" fontId="20" numFmtId="168" xfId="0" applyAlignment="1" applyFont="1" applyNumberFormat="1">
      <alignment horizontal="center" vertical="center"/>
    </xf>
    <xf borderId="49" fillId="3" fontId="23" numFmtId="0" xfId="0" applyAlignment="1" applyBorder="1" applyFont="1">
      <alignment horizontal="center" shrinkToFit="0" vertical="center" wrapText="1"/>
    </xf>
    <xf borderId="50" fillId="0" fontId="5" numFmtId="0" xfId="0" applyBorder="1" applyFont="1"/>
    <xf borderId="0" fillId="0" fontId="9" numFmtId="170" xfId="0" applyFont="1" applyNumberFormat="1"/>
    <xf borderId="51" fillId="3" fontId="24" numFmtId="0" xfId="0" applyAlignment="1" applyBorder="1" applyFont="1">
      <alignment horizontal="center" vertical="center"/>
    </xf>
    <xf borderId="40" fillId="3" fontId="24" numFmtId="0" xfId="0" applyAlignment="1" applyBorder="1" applyFont="1">
      <alignment horizontal="left" vertical="center"/>
    </xf>
    <xf borderId="40" fillId="3" fontId="24" numFmtId="168" xfId="0" applyAlignment="1" applyBorder="1" applyFont="1" applyNumberFormat="1">
      <alignment horizontal="center" vertical="center"/>
    </xf>
    <xf borderId="39" fillId="6" fontId="24" numFmtId="171" xfId="0" applyAlignment="1" applyBorder="1" applyFont="1" applyNumberFormat="1">
      <alignment horizontal="center" vertical="center"/>
    </xf>
    <xf borderId="39" fillId="6" fontId="24" numFmtId="164" xfId="0" applyAlignment="1" applyBorder="1" applyFont="1" applyNumberFormat="1">
      <alignment horizontal="right" vertical="center"/>
    </xf>
    <xf borderId="0" fillId="0" fontId="9" numFmtId="172" xfId="0" applyFont="1" applyNumberFormat="1"/>
    <xf borderId="52" fillId="3" fontId="24" numFmtId="0" xfId="0" applyAlignment="1" applyBorder="1" applyFont="1">
      <alignment horizontal="center" vertical="center"/>
    </xf>
    <xf borderId="39" fillId="6" fontId="25" numFmtId="164" xfId="0" applyAlignment="1" applyBorder="1" applyFont="1" applyNumberFormat="1">
      <alignment horizontal="center" vertical="center"/>
    </xf>
    <xf borderId="40" fillId="3" fontId="24" numFmtId="0" xfId="0" applyAlignment="1" applyBorder="1" applyFont="1">
      <alignment horizontal="left" shrinkToFit="0" vertical="center" wrapText="1"/>
    </xf>
    <xf borderId="53" fillId="4" fontId="23" numFmtId="164" xfId="0" applyAlignment="1" applyBorder="1" applyFont="1" applyNumberFormat="1">
      <alignment vertical="center"/>
    </xf>
    <xf borderId="53" fillId="11" fontId="23" numFmtId="164" xfId="0" applyAlignment="1" applyBorder="1" applyFill="1" applyFont="1" applyNumberFormat="1">
      <alignment vertical="center"/>
    </xf>
    <xf borderId="39" fillId="4" fontId="23" numFmtId="164" xfId="0" applyAlignment="1" applyBorder="1" applyFont="1" applyNumberFormat="1">
      <alignment vertical="center"/>
    </xf>
    <xf borderId="42" fillId="3" fontId="24" numFmtId="0" xfId="0" applyAlignment="1" applyBorder="1" applyFont="1">
      <alignment horizontal="center" vertical="center"/>
    </xf>
    <xf borderId="40" fillId="3" fontId="24" numFmtId="0" xfId="0" applyAlignment="1" applyBorder="1" applyFont="1">
      <alignment shrinkToFit="0" vertical="center" wrapText="1"/>
    </xf>
    <xf borderId="54" fillId="3" fontId="23" numFmtId="0" xfId="0" applyAlignment="1" applyBorder="1" applyFont="1">
      <alignment vertical="center"/>
    </xf>
    <xf borderId="51" fillId="3" fontId="23" numFmtId="0" xfId="0" applyAlignment="1" applyBorder="1" applyFont="1">
      <alignment vertical="center"/>
    </xf>
    <xf borderId="42" fillId="6" fontId="24" numFmtId="171" xfId="0" applyAlignment="1" applyBorder="1" applyFont="1" applyNumberFormat="1">
      <alignment horizontal="center" vertical="center"/>
    </xf>
    <xf borderId="52" fillId="12" fontId="24" numFmtId="0" xfId="0" applyAlignment="1" applyBorder="1" applyFill="1" applyFont="1">
      <alignment horizontal="center" vertical="center"/>
    </xf>
    <xf borderId="42" fillId="12" fontId="23" numFmtId="164" xfId="0" applyAlignment="1" applyBorder="1" applyFont="1" applyNumberFormat="1">
      <alignment horizontal="right" vertical="center"/>
    </xf>
    <xf borderId="40" fillId="3" fontId="26" numFmtId="164" xfId="0" applyAlignment="1" applyBorder="1" applyFont="1" applyNumberFormat="1">
      <alignment horizontal="center" vertical="center"/>
    </xf>
    <xf borderId="42" fillId="3" fontId="26" numFmtId="164" xfId="0" applyAlignment="1" applyBorder="1" applyFont="1" applyNumberFormat="1">
      <alignment vertical="center"/>
    </xf>
    <xf borderId="0" fillId="0" fontId="20" numFmtId="164" xfId="0" applyAlignment="1" applyFont="1" applyNumberFormat="1">
      <alignment horizontal="center" vertical="center"/>
    </xf>
    <xf borderId="0" fillId="0" fontId="27" numFmtId="164" xfId="0" applyFont="1" applyNumberFormat="1"/>
    <xf borderId="0" fillId="0" fontId="28" numFmtId="0" xfId="0" applyFont="1"/>
    <xf borderId="0" fillId="0" fontId="28" numFmtId="164" xfId="0" applyFont="1" applyNumberFormat="1"/>
    <xf borderId="0" fillId="0" fontId="29" numFmtId="164" xfId="0" applyAlignment="1" applyFont="1" applyNumberFormat="1">
      <alignment horizontal="center" vertical="center"/>
    </xf>
    <xf borderId="0" fillId="0" fontId="20" numFmtId="164" xfId="0" applyAlignment="1" applyFont="1" applyNumberFormat="1">
      <alignment horizontal="right" vertical="center"/>
    </xf>
    <xf borderId="0" fillId="0" fontId="20" numFmtId="164" xfId="0" applyAlignment="1" applyFont="1" applyNumberFormat="1">
      <alignment horizontal="left" vertical="center"/>
    </xf>
    <xf borderId="0" fillId="0" fontId="9" numFmtId="0" xfId="0" applyFont="1"/>
    <xf borderId="39" fillId="6" fontId="24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externalLink" Target="externalLinks/externalLink1.xml"/><Relationship Id="rId10" Type="http://schemas.openxmlformats.org/officeDocument/2006/relationships/worksheet" Target="worksheets/sheet7.xml"/><Relationship Id="rId13" Type="http://schemas.openxmlformats.org/officeDocument/2006/relationships/externalLink" Target="externalLinks/externalLink3.xml"/><Relationship Id="rId12" Type="http://schemas.openxmlformats.org/officeDocument/2006/relationships/externalLink" Target="externalLinks/externalLink2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microsoft.com/office/2006/relationships/xlExternalLinkPath/xlPathMissing" Target="Encarregado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microsoft.com/office/2006/relationships/xlExternalLinkPath/xlPathMissing" Target="Equipe%20Volante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microsoft.com/office/2006/relationships/xlExternalLinkPath/xlPathMissing" Target="COTA&#199;&#195;O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ncarregado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Equipe Volant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TAÇÃ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66CC"/>
    <pageSetUpPr fitToPage="1"/>
  </sheetPr>
  <sheetViews>
    <sheetView workbookViewId="0"/>
  </sheetViews>
  <sheetFormatPr customHeight="1" defaultColWidth="14.43" defaultRowHeight="15.0"/>
  <cols>
    <col customWidth="1" min="1" max="1" width="2.71"/>
    <col customWidth="1" min="2" max="2" width="8.43"/>
    <col customWidth="1" min="3" max="3" width="10.57"/>
    <col customWidth="1" min="4" max="4" width="21.14"/>
    <col customWidth="1" min="5" max="5" width="15.71"/>
    <col customWidth="1" min="6" max="6" width="14.57"/>
    <col customWidth="1" min="7" max="7" width="16.71"/>
    <col customWidth="1" min="8" max="8" width="17.57"/>
    <col customWidth="1" min="9" max="9" width="18.86"/>
    <col customWidth="1" min="10" max="10" width="2.71"/>
  </cols>
  <sheetData>
    <row r="1" ht="15.0" customHeight="1">
      <c r="A1" s="1"/>
      <c r="B1" s="2" t="s">
        <v>0</v>
      </c>
      <c r="D1" s="2"/>
      <c r="E1" s="2"/>
      <c r="F1" s="2"/>
      <c r="G1" s="2"/>
      <c r="H1" s="3"/>
      <c r="I1" s="3"/>
      <c r="J1" s="4"/>
      <c r="K1" s="4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0" customHeight="1">
      <c r="A2" s="1"/>
      <c r="B2" s="2" t="s">
        <v>1</v>
      </c>
      <c r="D2" s="2"/>
      <c r="E2" s="2"/>
      <c r="F2" s="2"/>
      <c r="G2" s="5" t="s">
        <v>2</v>
      </c>
      <c r="H2" s="3"/>
      <c r="I2" s="3"/>
      <c r="J2" s="4"/>
      <c r="K2" s="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2" t="s">
        <v>3</v>
      </c>
      <c r="D3" s="2"/>
      <c r="E3" s="2"/>
      <c r="F3" s="2"/>
      <c r="G3" s="6" t="s">
        <v>4</v>
      </c>
      <c r="H3" s="3"/>
      <c r="I3" s="3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0" customHeight="1">
      <c r="A4" s="1"/>
      <c r="B4" s="2" t="s">
        <v>5</v>
      </c>
      <c r="D4" s="2"/>
      <c r="E4" s="2"/>
      <c r="F4" s="2"/>
      <c r="G4" s="5"/>
      <c r="H4" s="3"/>
      <c r="I4" s="3"/>
      <c r="J4" s="4"/>
      <c r="K4" s="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0" customHeight="1">
      <c r="A5" s="1"/>
      <c r="B5" s="2" t="s">
        <v>6</v>
      </c>
      <c r="D5" s="2"/>
      <c r="F5" s="2"/>
      <c r="G5" s="5" t="s">
        <v>7</v>
      </c>
      <c r="H5" s="3"/>
      <c r="I5" s="3"/>
      <c r="J5" s="4"/>
      <c r="K5" s="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5.0" customHeight="1">
      <c r="A6" s="1"/>
      <c r="B6" s="2" t="s">
        <v>8</v>
      </c>
      <c r="D6" s="2"/>
      <c r="F6" s="2"/>
      <c r="G6" s="5" t="s">
        <v>9</v>
      </c>
      <c r="H6" s="3"/>
      <c r="I6" s="3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5.0" customHeight="1">
      <c r="A7" s="1"/>
      <c r="B7" s="2"/>
      <c r="D7" s="2"/>
      <c r="E7" s="2"/>
      <c r="F7" s="2"/>
      <c r="G7" s="2"/>
      <c r="H7" s="3"/>
      <c r="I7" s="3"/>
      <c r="J7" s="4"/>
      <c r="K7" s="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46.5" customHeight="1">
      <c r="A8" s="1"/>
      <c r="B8" s="7" t="s">
        <v>10</v>
      </c>
      <c r="J8" s="4"/>
      <c r="K8" s="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5.0" customHeight="1">
      <c r="A9" s="1"/>
      <c r="B9" s="3"/>
      <c r="C9" s="3"/>
      <c r="D9" s="3"/>
      <c r="E9" s="3"/>
      <c r="F9" s="3"/>
      <c r="G9" s="3"/>
      <c r="H9" s="3"/>
      <c r="I9" s="3"/>
      <c r="J9" s="4"/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5.5" customHeight="1">
      <c r="A10" s="1"/>
      <c r="B10" s="8" t="s">
        <v>11</v>
      </c>
      <c r="C10" s="9"/>
      <c r="D10" s="9"/>
      <c r="E10" s="9"/>
      <c r="F10" s="9"/>
      <c r="G10" s="9"/>
      <c r="H10" s="9"/>
      <c r="I10" s="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75" customHeight="1">
      <c r="A11" s="1"/>
      <c r="B11" s="11"/>
      <c r="C11" s="9"/>
      <c r="D11" s="9"/>
      <c r="E11" s="9"/>
      <c r="F11" s="9"/>
      <c r="G11" s="9"/>
      <c r="H11" s="9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2" t="s">
        <v>12</v>
      </c>
      <c r="C12" s="12" t="s">
        <v>13</v>
      </c>
      <c r="D12" s="12" t="s">
        <v>14</v>
      </c>
      <c r="E12" s="12" t="s">
        <v>15</v>
      </c>
      <c r="F12" s="12" t="s">
        <v>16</v>
      </c>
      <c r="G12" s="12" t="s">
        <v>17</v>
      </c>
      <c r="H12" s="12" t="s">
        <v>18</v>
      </c>
      <c r="I12" s="12" t="s">
        <v>19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38.25" customHeight="1">
      <c r="A13" s="1"/>
      <c r="B13" s="12">
        <v>1.0</v>
      </c>
      <c r="C13" s="13" t="s">
        <v>20</v>
      </c>
      <c r="D13" s="14" t="s">
        <v>21</v>
      </c>
      <c r="E13" s="12">
        <v>18.0</v>
      </c>
      <c r="F13" s="15">
        <f t="shared" ref="F13:F15" si="1">E13*24</f>
        <v>432</v>
      </c>
      <c r="G13" s="16"/>
      <c r="H13" s="16">
        <f t="shared" ref="H13:H15" si="2">G13*E13</f>
        <v>0</v>
      </c>
      <c r="I13" s="16">
        <f t="shared" ref="I13:I15" si="3">H13*24</f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8.25" customHeight="1">
      <c r="A14" s="1"/>
      <c r="B14" s="12">
        <v>2.0</v>
      </c>
      <c r="C14" s="13" t="s">
        <v>20</v>
      </c>
      <c r="D14" s="14" t="s">
        <v>22</v>
      </c>
      <c r="E14" s="12">
        <v>18.0</v>
      </c>
      <c r="F14" s="15">
        <f t="shared" si="1"/>
        <v>432</v>
      </c>
      <c r="G14" s="16"/>
      <c r="H14" s="16">
        <f t="shared" si="2"/>
        <v>0</v>
      </c>
      <c r="I14" s="16">
        <f t="shared" si="3"/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8.25" customHeight="1">
      <c r="A15" s="1"/>
      <c r="B15" s="12">
        <v>3.0</v>
      </c>
      <c r="C15" s="13" t="s">
        <v>20</v>
      </c>
      <c r="D15" s="14" t="s">
        <v>23</v>
      </c>
      <c r="E15" s="12">
        <v>6.0</v>
      </c>
      <c r="F15" s="15">
        <f t="shared" si="1"/>
        <v>144</v>
      </c>
      <c r="G15" s="16"/>
      <c r="H15" s="16">
        <f t="shared" si="2"/>
        <v>0</v>
      </c>
      <c r="I15" s="16">
        <f t="shared" si="3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5.5" customHeight="1">
      <c r="A16" s="1"/>
      <c r="B16" s="8" t="s">
        <v>24</v>
      </c>
      <c r="C16" s="9"/>
      <c r="D16" s="9"/>
      <c r="E16" s="9"/>
      <c r="F16" s="9"/>
      <c r="G16" s="10"/>
      <c r="H16" s="17">
        <f t="shared" ref="H16:I16" si="4">SUM(H13:H14)</f>
        <v>0</v>
      </c>
      <c r="I16" s="17">
        <f t="shared" si="4"/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2" t="s">
        <v>25</v>
      </c>
      <c r="C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2"/>
      <c r="C20" s="2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2"/>
      <c r="C21" s="2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2"/>
      <c r="C22" s="2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8" t="s">
        <v>26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8" t="s">
        <v>27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</sheetData>
  <mergeCells count="6">
    <mergeCell ref="B8:I8"/>
    <mergeCell ref="B10:I10"/>
    <mergeCell ref="B11:I11"/>
    <mergeCell ref="B16:G16"/>
    <mergeCell ref="B23:I23"/>
    <mergeCell ref="B24:I24"/>
  </mergeCells>
  <printOptions horizontalCentered="1"/>
  <pageMargins bottom="0.7874015748031497" footer="0.0" header="0.0" left="0.7874015748031497" right="0.7874015748031497" top="0.7884615384615384"/>
  <pageSetup fitToHeight="0" orientation="landscape"/>
  <headerFooter>
    <oddFooter>&amp;CRua Omilio Monteiro Soares, 997, Fanny - CEP 81030-000 - Curitiba . Paraná - Fone/Fax: 55 (41) 3027-7575 www.viaservicosintegrados.com.br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9.14"/>
    <col customWidth="1" min="2" max="2" width="16.57"/>
    <col customWidth="1" min="3" max="3" width="19.29"/>
    <col customWidth="1" min="4" max="4" width="56.71"/>
    <col customWidth="1" min="5" max="5" width="16.29"/>
    <col customWidth="1" min="6" max="6" width="17.14"/>
    <col customWidth="1" min="7" max="7" width="16.71"/>
  </cols>
  <sheetData>
    <row r="1">
      <c r="A1" s="19" t="s">
        <v>28</v>
      </c>
      <c r="E1" s="20"/>
      <c r="F1" s="20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>
      <c r="A2" s="22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>
      <c r="A3" s="19" t="s">
        <v>29</v>
      </c>
      <c r="E3" s="20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>
      <c r="A4" s="1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>
      <c r="A5" s="23" t="s">
        <v>30</v>
      </c>
      <c r="B5" s="9"/>
      <c r="C5" s="9"/>
      <c r="D5" s="1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>
      <c r="A6" s="24" t="s">
        <v>31</v>
      </c>
      <c r="B6" s="25"/>
      <c r="C6" s="9"/>
      <c r="D6" s="1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>
      <c r="A7" s="24" t="s">
        <v>32</v>
      </c>
      <c r="B7" s="26" t="s">
        <v>33</v>
      </c>
      <c r="C7" s="10"/>
      <c r="D7" s="27" t="s">
        <v>34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>
      <c r="A8" s="24" t="s">
        <v>35</v>
      </c>
      <c r="B8" s="28" t="s">
        <v>11</v>
      </c>
      <c r="C8" s="9"/>
      <c r="D8" s="1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>
      <c r="A9" s="26"/>
      <c r="B9" s="9"/>
      <c r="C9" s="9"/>
      <c r="D9" s="1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>
      <c r="A10" s="28" t="s">
        <v>36</v>
      </c>
      <c r="B10" s="9"/>
      <c r="C10" s="9"/>
      <c r="D10" s="1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>
      <c r="A11" s="28"/>
      <c r="B11" s="9"/>
      <c r="C11" s="9"/>
      <c r="D11" s="1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>
      <c r="A12" s="26" t="s">
        <v>37</v>
      </c>
      <c r="B12" s="9"/>
      <c r="C12" s="9"/>
      <c r="D12" s="1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>
      <c r="A13" s="29" t="s">
        <v>38</v>
      </c>
      <c r="B13" s="9"/>
      <c r="C13" s="10"/>
      <c r="D13" s="30" t="s">
        <v>39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>
      <c r="A14" s="29" t="s">
        <v>40</v>
      </c>
      <c r="B14" s="9"/>
      <c r="C14" s="10"/>
      <c r="D14" s="30" t="s">
        <v>41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>
      <c r="A15" s="29" t="s">
        <v>42</v>
      </c>
      <c r="B15" s="9"/>
      <c r="C15" s="10"/>
      <c r="D15" s="30">
        <v>12.0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>
      <c r="A16" s="29" t="s">
        <v>43</v>
      </c>
      <c r="B16" s="9"/>
      <c r="C16" s="10"/>
      <c r="D16" s="30" t="str">
        <f>D13</f>
        <v>VIGIA DIURNO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>
      <c r="A17" s="29" t="s">
        <v>44</v>
      </c>
      <c r="B17" s="9"/>
      <c r="C17" s="10"/>
      <c r="D17" s="31">
        <v>46054.0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>
      <c r="A18" s="32"/>
      <c r="B18" s="33"/>
      <c r="C18" s="33"/>
      <c r="D18" s="3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>
      <c r="A19" s="35"/>
      <c r="B19" s="36"/>
      <c r="C19" s="36"/>
      <c r="D19" s="37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>
      <c r="A20" s="38" t="s">
        <v>45</v>
      </c>
      <c r="B20" s="9"/>
      <c r="C20" s="10"/>
      <c r="D20" s="39">
        <v>1.0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40" t="s">
        <v>46</v>
      </c>
      <c r="B21" s="41" t="s">
        <v>47</v>
      </c>
      <c r="C21" s="9"/>
      <c r="D21" s="1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42"/>
      <c r="B22" s="9"/>
      <c r="C22" s="9"/>
      <c r="D22" s="1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43" t="s">
        <v>48</v>
      </c>
      <c r="B23" s="44" t="s">
        <v>49</v>
      </c>
      <c r="C23" s="44" t="s">
        <v>50</v>
      </c>
      <c r="D23" s="45" t="s">
        <v>51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46" t="s">
        <v>52</v>
      </c>
      <c r="B24" s="47"/>
      <c r="C24" s="39">
        <v>0.0</v>
      </c>
      <c r="D24" s="48" t="s">
        <v>53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46" t="s">
        <v>54</v>
      </c>
      <c r="B25" s="49"/>
      <c r="C25" s="39">
        <f>(1412*B25)</f>
        <v>0</v>
      </c>
      <c r="D25" s="48" t="s">
        <v>55</v>
      </c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46" t="s">
        <v>56</v>
      </c>
      <c r="B26" s="49"/>
      <c r="C26" s="39">
        <v>0.0</v>
      </c>
      <c r="D26" s="5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46" t="s">
        <v>57</v>
      </c>
      <c r="B27" s="47"/>
      <c r="C27" s="39">
        <v>0.0</v>
      </c>
      <c r="D27" s="48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4" t="s">
        <v>58</v>
      </c>
      <c r="B28" s="46"/>
      <c r="C28" s="39">
        <f>SUM(C24:C27)</f>
        <v>0</v>
      </c>
      <c r="D28" s="48" t="s">
        <v>59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4" t="s">
        <v>60</v>
      </c>
      <c r="B29" s="46"/>
      <c r="C29" s="51">
        <f>C28</f>
        <v>0</v>
      </c>
      <c r="D29" s="48" t="s">
        <v>61</v>
      </c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32"/>
      <c r="B30" s="33"/>
      <c r="C30" s="33"/>
      <c r="D30" s="34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52" t="s">
        <v>62</v>
      </c>
      <c r="B31" s="33"/>
      <c r="C31" s="33"/>
      <c r="D31" s="34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53" t="s">
        <v>63</v>
      </c>
      <c r="B32" s="36"/>
      <c r="C32" s="36"/>
      <c r="D32" s="37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28.5" customHeight="1">
      <c r="A33" s="54" t="s">
        <v>64</v>
      </c>
      <c r="B33" s="30" t="s">
        <v>65</v>
      </c>
      <c r="C33" s="30" t="s">
        <v>50</v>
      </c>
      <c r="D33" s="27" t="s">
        <v>66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28.5" customHeight="1">
      <c r="A34" s="46" t="s">
        <v>67</v>
      </c>
      <c r="B34" s="55" t="str">
        <f t="shared" ref="B34:B41" si="1">C34/$C$29</f>
        <v>#DIV/0!</v>
      </c>
      <c r="C34" s="56">
        <f>(6*15.5*2)-(C24*6%)</f>
        <v>186</v>
      </c>
      <c r="D34" s="57" t="s">
        <v>68</v>
      </c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48" t="s">
        <v>69</v>
      </c>
      <c r="B35" s="55" t="str">
        <f t="shared" si="1"/>
        <v>#DIV/0!</v>
      </c>
      <c r="C35" s="58">
        <f>805*0.8</f>
        <v>644</v>
      </c>
      <c r="D35" s="48" t="s">
        <v>70</v>
      </c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46" t="s">
        <v>71</v>
      </c>
      <c r="B36" s="55" t="str">
        <f t="shared" si="1"/>
        <v>#DIV/0!</v>
      </c>
      <c r="C36" s="56">
        <v>0.0</v>
      </c>
      <c r="D36" s="4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46" t="s">
        <v>72</v>
      </c>
      <c r="B37" s="55" t="str">
        <f t="shared" si="1"/>
        <v>#DIV/0!</v>
      </c>
      <c r="C37" s="56"/>
      <c r="D37" s="48" t="s">
        <v>73</v>
      </c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46" t="s">
        <v>74</v>
      </c>
      <c r="B38" s="55" t="str">
        <f t="shared" si="1"/>
        <v>#DIV/0!</v>
      </c>
      <c r="C38" s="56"/>
      <c r="D38" s="48" t="s">
        <v>75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46" t="s">
        <v>76</v>
      </c>
      <c r="B39" s="55" t="str">
        <f t="shared" si="1"/>
        <v>#DIV/0!</v>
      </c>
      <c r="C39" s="56">
        <v>0.0</v>
      </c>
      <c r="D39" s="4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46" t="s">
        <v>77</v>
      </c>
      <c r="B40" s="55" t="str">
        <f t="shared" si="1"/>
        <v>#DIV/0!</v>
      </c>
      <c r="C40" s="56"/>
      <c r="D40" s="48" t="s">
        <v>78</v>
      </c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46" t="s">
        <v>79</v>
      </c>
      <c r="B41" s="55" t="str">
        <f t="shared" si="1"/>
        <v>#DIV/0!</v>
      </c>
      <c r="C41" s="56">
        <f>C35/12</f>
        <v>53.66666667</v>
      </c>
      <c r="D41" s="4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4" t="s">
        <v>80</v>
      </c>
      <c r="B42" s="55" t="str">
        <f t="shared" ref="B42:C42" si="2">SUM(B34:B41)</f>
        <v>#DIV/0!</v>
      </c>
      <c r="C42" s="59">
        <f t="shared" si="2"/>
        <v>883.6666667</v>
      </c>
      <c r="D42" s="48" t="s">
        <v>81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42"/>
      <c r="B43" s="9"/>
      <c r="C43" s="9"/>
      <c r="D43" s="1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60" t="s">
        <v>82</v>
      </c>
      <c r="B44" s="9"/>
      <c r="C44" s="9"/>
      <c r="D44" s="1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26.25" customHeight="1">
      <c r="A45" s="54" t="s">
        <v>64</v>
      </c>
      <c r="B45" s="30" t="s">
        <v>65</v>
      </c>
      <c r="C45" s="30" t="s">
        <v>50</v>
      </c>
      <c r="D45" s="27" t="s">
        <v>66</v>
      </c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>
      <c r="A46" s="46" t="s">
        <v>83</v>
      </c>
      <c r="B46" s="55" t="str">
        <f>C46/$C$29</f>
        <v>#DIV/0!</v>
      </c>
      <c r="C46" s="39">
        <v>0.0</v>
      </c>
      <c r="D46" s="50" t="s">
        <v>84</v>
      </c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46" t="s">
        <v>85</v>
      </c>
      <c r="B47" s="49"/>
      <c r="C47" s="39">
        <f>C29*B47</f>
        <v>0</v>
      </c>
      <c r="D47" s="4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46" t="s">
        <v>86</v>
      </c>
      <c r="B48" s="49"/>
      <c r="C48" s="39">
        <f>C29*B48</f>
        <v>0</v>
      </c>
      <c r="D48" s="4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46" t="s">
        <v>87</v>
      </c>
      <c r="B49" s="46"/>
      <c r="C49" s="39"/>
      <c r="D49" s="46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>
      <c r="A50" s="24" t="s">
        <v>88</v>
      </c>
      <c r="B50" s="55" t="str">
        <f t="shared" ref="B50:C50" si="3">SUM(B46:B49)</f>
        <v>#DIV/0!</v>
      </c>
      <c r="C50" s="61">
        <f t="shared" si="3"/>
        <v>0</v>
      </c>
      <c r="D50" s="46" t="s">
        <v>89</v>
      </c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32"/>
      <c r="B51" s="33"/>
      <c r="C51" s="33"/>
      <c r="D51" s="34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52" t="s">
        <v>90</v>
      </c>
      <c r="B52" s="33"/>
      <c r="C52" s="33"/>
      <c r="D52" s="34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62" t="s">
        <v>91</v>
      </c>
      <c r="D53" s="6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64" t="s">
        <v>92</v>
      </c>
      <c r="B54" s="65"/>
      <c r="C54" s="66"/>
      <c r="D54" s="67" t="s">
        <v>93</v>
      </c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60" t="s">
        <v>94</v>
      </c>
      <c r="B55" s="9"/>
      <c r="C55" s="9"/>
      <c r="D55" s="1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54" t="s">
        <v>95</v>
      </c>
      <c r="B56" s="30" t="s">
        <v>49</v>
      </c>
      <c r="C56" s="30" t="s">
        <v>50</v>
      </c>
      <c r="D56" s="68" t="s">
        <v>66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21.75" customHeight="1">
      <c r="A57" s="46" t="s">
        <v>96</v>
      </c>
      <c r="B57" s="49">
        <v>0.2</v>
      </c>
      <c r="C57" s="69">
        <f t="shared" ref="C57:C64" si="4">B57*$C$29</f>
        <v>0</v>
      </c>
      <c r="D57" s="70" t="s">
        <v>97</v>
      </c>
      <c r="E57" s="21"/>
      <c r="F57" s="21"/>
      <c r="G57" s="7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21.75" customHeight="1">
      <c r="A58" s="46" t="s">
        <v>98</v>
      </c>
      <c r="B58" s="49">
        <v>0.015</v>
      </c>
      <c r="C58" s="69">
        <f t="shared" si="4"/>
        <v>0</v>
      </c>
      <c r="D58" s="70" t="s">
        <v>99</v>
      </c>
      <c r="E58" s="21"/>
      <c r="F58" s="21"/>
      <c r="G58" s="7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21.75" customHeight="1">
      <c r="A59" s="72" t="s">
        <v>100</v>
      </c>
      <c r="B59" s="73">
        <v>0.002</v>
      </c>
      <c r="C59" s="74">
        <f t="shared" si="4"/>
        <v>0</v>
      </c>
      <c r="D59" s="75" t="s">
        <v>101</v>
      </c>
      <c r="E59" s="21"/>
      <c r="F59" s="21"/>
      <c r="G59" s="7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21.75" customHeight="1">
      <c r="A60" s="72" t="s">
        <v>102</v>
      </c>
      <c r="B60" s="73">
        <v>0.01</v>
      </c>
      <c r="C60" s="74">
        <f t="shared" si="4"/>
        <v>0</v>
      </c>
      <c r="D60" s="75" t="s">
        <v>103</v>
      </c>
      <c r="E60" s="21"/>
      <c r="F60" s="21"/>
      <c r="G60" s="7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21.75" customHeight="1">
      <c r="A61" s="72" t="s">
        <v>104</v>
      </c>
      <c r="B61" s="73">
        <v>0.025</v>
      </c>
      <c r="C61" s="74">
        <f t="shared" si="4"/>
        <v>0</v>
      </c>
      <c r="D61" s="75" t="s">
        <v>105</v>
      </c>
      <c r="E61" s="21"/>
      <c r="F61" s="21"/>
      <c r="G61" s="7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21.75" customHeight="1">
      <c r="A62" s="72" t="s">
        <v>106</v>
      </c>
      <c r="B62" s="73">
        <v>0.03</v>
      </c>
      <c r="C62" s="74">
        <f t="shared" si="4"/>
        <v>0</v>
      </c>
      <c r="D62" s="75" t="s">
        <v>107</v>
      </c>
      <c r="E62" s="21"/>
      <c r="F62" s="21"/>
      <c r="G62" s="7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33.0" customHeight="1">
      <c r="A63" s="72" t="s">
        <v>108</v>
      </c>
      <c r="B63" s="73">
        <v>0.08</v>
      </c>
      <c r="C63" s="74">
        <f t="shared" si="4"/>
        <v>0</v>
      </c>
      <c r="D63" s="75" t="s">
        <v>109</v>
      </c>
      <c r="E63" s="21"/>
      <c r="F63" s="21"/>
      <c r="G63" s="7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21.75" customHeight="1">
      <c r="A64" s="72" t="s">
        <v>110</v>
      </c>
      <c r="B64" s="73">
        <v>0.006</v>
      </c>
      <c r="C64" s="74">
        <f t="shared" si="4"/>
        <v>0</v>
      </c>
      <c r="D64" s="75" t="s">
        <v>111</v>
      </c>
      <c r="E64" s="21"/>
      <c r="F64" s="21"/>
      <c r="G64" s="7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21.75" customHeight="1">
      <c r="A65" s="76" t="s">
        <v>112</v>
      </c>
      <c r="B65" s="77">
        <f t="shared" ref="B65:C65" si="5">SUM(B57:B64)</f>
        <v>0.368</v>
      </c>
      <c r="C65" s="78">
        <f t="shared" si="5"/>
        <v>0</v>
      </c>
      <c r="D65" s="79" t="s">
        <v>113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15.75" customHeight="1">
      <c r="A66" s="80"/>
      <c r="B66" s="9"/>
      <c r="C66" s="9"/>
      <c r="D66" s="1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81" t="s">
        <v>114</v>
      </c>
      <c r="B67" s="9"/>
      <c r="C67" s="9"/>
      <c r="D67" s="1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54" t="s">
        <v>95</v>
      </c>
      <c r="B68" s="44" t="s">
        <v>49</v>
      </c>
      <c r="C68" s="44" t="s">
        <v>50</v>
      </c>
      <c r="D68" s="45" t="s">
        <v>66</v>
      </c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72" t="s">
        <v>115</v>
      </c>
      <c r="B69" s="82">
        <v>0.0833</v>
      </c>
      <c r="C69" s="74">
        <f t="shared" ref="C69:C71" si="6">B69*$C$29</f>
        <v>0</v>
      </c>
      <c r="D69" s="72"/>
      <c r="E69" s="21"/>
      <c r="F69" s="21"/>
      <c r="G69" s="7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76" t="s">
        <v>116</v>
      </c>
      <c r="B70" s="83">
        <v>0.0833</v>
      </c>
      <c r="C70" s="78">
        <f t="shared" si="6"/>
        <v>0</v>
      </c>
      <c r="D70" s="72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72" t="s">
        <v>117</v>
      </c>
      <c r="B71" s="82">
        <f>B70*B65</f>
        <v>0.0306544</v>
      </c>
      <c r="C71" s="74">
        <f t="shared" si="6"/>
        <v>0</v>
      </c>
      <c r="D71" s="72"/>
      <c r="E71" s="21"/>
      <c r="F71" s="21"/>
      <c r="G71" s="7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76" t="s">
        <v>118</v>
      </c>
      <c r="B72" s="77">
        <f t="shared" ref="B72:C72" si="7">B70+B71</f>
        <v>0.1139544</v>
      </c>
      <c r="C72" s="78">
        <f t="shared" si="7"/>
        <v>0</v>
      </c>
      <c r="D72" s="72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80"/>
      <c r="B73" s="9"/>
      <c r="C73" s="9"/>
      <c r="D73" s="1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81" t="s">
        <v>119</v>
      </c>
      <c r="B74" s="9"/>
      <c r="C74" s="9"/>
      <c r="D74" s="1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15.75" customHeight="1">
      <c r="A75" s="54" t="s">
        <v>95</v>
      </c>
      <c r="B75" s="44" t="s">
        <v>49</v>
      </c>
      <c r="C75" s="44" t="s">
        <v>50</v>
      </c>
      <c r="D75" s="45" t="s">
        <v>66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72" t="s">
        <v>120</v>
      </c>
      <c r="B76" s="73">
        <v>0.0015</v>
      </c>
      <c r="C76" s="74">
        <f t="shared" ref="C76:C77" si="8">B76*$C$29</f>
        <v>0</v>
      </c>
      <c r="D76" s="72" t="s">
        <v>121</v>
      </c>
      <c r="E76" s="21"/>
      <c r="F76" s="21"/>
      <c r="G76" s="7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72" t="s">
        <v>122</v>
      </c>
      <c r="B77" s="73">
        <f>B76*B65</f>
        <v>0.000552</v>
      </c>
      <c r="C77" s="74">
        <f t="shared" si="8"/>
        <v>0</v>
      </c>
      <c r="D77" s="72" t="s">
        <v>123</v>
      </c>
      <c r="E77" s="21"/>
      <c r="F77" s="21"/>
      <c r="G77" s="7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76" t="s">
        <v>124</v>
      </c>
      <c r="B78" s="77">
        <f t="shared" ref="B78:C78" si="9">SUM(B76:B77)</f>
        <v>0.002052</v>
      </c>
      <c r="C78" s="78">
        <f t="shared" si="9"/>
        <v>0</v>
      </c>
      <c r="D78" s="72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80"/>
      <c r="B79" s="9"/>
      <c r="C79" s="9"/>
      <c r="D79" s="1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81" t="s">
        <v>125</v>
      </c>
      <c r="B80" s="9"/>
      <c r="C80" s="9"/>
      <c r="D80" s="1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15.75" customHeight="1">
      <c r="A81" s="54" t="s">
        <v>95</v>
      </c>
      <c r="B81" s="44" t="s">
        <v>49</v>
      </c>
      <c r="C81" s="44" t="s">
        <v>50</v>
      </c>
      <c r="D81" s="45" t="s">
        <v>66</v>
      </c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31.5" customHeight="1">
      <c r="A82" s="72" t="s">
        <v>126</v>
      </c>
      <c r="B82" s="73">
        <v>0.0194</v>
      </c>
      <c r="C82" s="74">
        <f t="shared" ref="C82:C89" si="10">B82*$C$29</f>
        <v>0</v>
      </c>
      <c r="D82" s="84" t="s">
        <v>127</v>
      </c>
      <c r="E82" s="21"/>
      <c r="F82" s="21"/>
      <c r="G82" s="7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31.5" customHeight="1">
      <c r="A83" s="72" t="s">
        <v>128</v>
      </c>
      <c r="B83" s="73">
        <f>B82*8%</f>
        <v>0.001552</v>
      </c>
      <c r="C83" s="85">
        <f t="shared" si="10"/>
        <v>0</v>
      </c>
      <c r="D83" s="79" t="s">
        <v>129</v>
      </c>
      <c r="E83" s="21"/>
      <c r="F83" s="21"/>
      <c r="G83" s="7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31.5" customHeight="1">
      <c r="A84" s="72" t="s">
        <v>130</v>
      </c>
      <c r="B84" s="82">
        <f>B83*50%</f>
        <v>0.000776</v>
      </c>
      <c r="C84" s="74">
        <f t="shared" si="10"/>
        <v>0</v>
      </c>
      <c r="D84" s="79" t="s">
        <v>123</v>
      </c>
      <c r="E84" s="21"/>
      <c r="F84" s="21"/>
      <c r="G84" s="7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31.5" customHeight="1">
      <c r="A85" s="72" t="s">
        <v>131</v>
      </c>
      <c r="B85" s="73">
        <v>0.0054</v>
      </c>
      <c r="C85" s="74">
        <f t="shared" si="10"/>
        <v>0</v>
      </c>
      <c r="D85" s="79" t="s">
        <v>132</v>
      </c>
      <c r="E85" s="21"/>
      <c r="F85" s="21"/>
      <c r="G85" s="7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31.5" customHeight="1">
      <c r="A86" s="72" t="s">
        <v>133</v>
      </c>
      <c r="B86" s="73">
        <v>1.0E-4</v>
      </c>
      <c r="C86" s="74">
        <f t="shared" si="10"/>
        <v>0</v>
      </c>
      <c r="D86" s="79" t="s">
        <v>134</v>
      </c>
      <c r="E86" s="21"/>
      <c r="F86" s="21"/>
      <c r="G86" s="7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31.5" customHeight="1">
      <c r="A87" s="72" t="s">
        <v>135</v>
      </c>
      <c r="B87" s="73">
        <f>((B85+B86))*B65</f>
        <v>0.002024</v>
      </c>
      <c r="C87" s="74">
        <f t="shared" si="10"/>
        <v>0</v>
      </c>
      <c r="D87" s="79" t="s">
        <v>123</v>
      </c>
      <c r="E87" s="21"/>
      <c r="F87" s="21"/>
      <c r="G87" s="7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31.5" customHeight="1">
      <c r="A88" s="72" t="s">
        <v>136</v>
      </c>
      <c r="B88" s="73">
        <v>0.04</v>
      </c>
      <c r="C88" s="74">
        <f t="shared" si="10"/>
        <v>0</v>
      </c>
      <c r="D88" s="79" t="s">
        <v>137</v>
      </c>
      <c r="E88" s="21"/>
      <c r="F88" s="21"/>
      <c r="G88" s="7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31.5" customHeight="1">
      <c r="A89" s="72" t="s">
        <v>138</v>
      </c>
      <c r="B89" s="73">
        <v>3.0E-4</v>
      </c>
      <c r="C89" s="74">
        <f t="shared" si="10"/>
        <v>0</v>
      </c>
      <c r="D89" s="79" t="s">
        <v>139</v>
      </c>
      <c r="E89" s="21"/>
      <c r="F89" s="21"/>
      <c r="G89" s="7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76" t="s">
        <v>140</v>
      </c>
      <c r="B90" s="77">
        <f t="shared" ref="B90:C90" si="11">SUM(B82:B89)</f>
        <v>0.069552</v>
      </c>
      <c r="C90" s="78">
        <f t="shared" si="11"/>
        <v>0</v>
      </c>
      <c r="D90" s="72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80"/>
      <c r="B91" s="9"/>
      <c r="C91" s="9"/>
      <c r="D91" s="1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81" t="s">
        <v>141</v>
      </c>
      <c r="B92" s="9"/>
      <c r="C92" s="9"/>
      <c r="D92" s="1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15.75" customHeight="1">
      <c r="A93" s="54" t="s">
        <v>95</v>
      </c>
      <c r="B93" s="44" t="s">
        <v>49</v>
      </c>
      <c r="C93" s="44" t="s">
        <v>50</v>
      </c>
      <c r="D93" s="45" t="s">
        <v>66</v>
      </c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72" t="s">
        <v>142</v>
      </c>
      <c r="B94" s="77">
        <v>0.1111</v>
      </c>
      <c r="C94" s="74">
        <f t="shared" ref="C94:C101" si="12">B94*$C$29</f>
        <v>0</v>
      </c>
      <c r="D94" s="84" t="s">
        <v>143</v>
      </c>
      <c r="E94" s="21"/>
      <c r="F94" s="21"/>
      <c r="G94" s="7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72" t="s">
        <v>144</v>
      </c>
      <c r="B95" s="77">
        <v>0.0045</v>
      </c>
      <c r="C95" s="74">
        <f t="shared" si="12"/>
        <v>0</v>
      </c>
      <c r="D95" s="84" t="s">
        <v>145</v>
      </c>
      <c r="E95" s="21"/>
      <c r="F95" s="21"/>
      <c r="G95" s="7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72" t="s">
        <v>146</v>
      </c>
      <c r="B96" s="77">
        <v>0.0063</v>
      </c>
      <c r="C96" s="74">
        <f t="shared" si="12"/>
        <v>0</v>
      </c>
      <c r="D96" s="84" t="s">
        <v>147</v>
      </c>
      <c r="E96" s="21"/>
      <c r="F96" s="21"/>
      <c r="G96" s="7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72" t="s">
        <v>148</v>
      </c>
      <c r="B97" s="77">
        <v>0.0021</v>
      </c>
      <c r="C97" s="74">
        <f t="shared" si="12"/>
        <v>0</v>
      </c>
      <c r="D97" s="84"/>
      <c r="E97" s="21"/>
      <c r="F97" s="21"/>
      <c r="G97" s="7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72" t="s">
        <v>149</v>
      </c>
      <c r="B98" s="77">
        <v>0.0032</v>
      </c>
      <c r="C98" s="74">
        <f t="shared" si="12"/>
        <v>0</v>
      </c>
      <c r="D98" s="84" t="s">
        <v>150</v>
      </c>
      <c r="E98" s="21"/>
      <c r="F98" s="21"/>
      <c r="G98" s="7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72" t="s">
        <v>151</v>
      </c>
      <c r="B99" s="86">
        <v>0.0</v>
      </c>
      <c r="C99" s="74">
        <f t="shared" si="12"/>
        <v>0</v>
      </c>
      <c r="D99" s="7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76" t="s">
        <v>152</v>
      </c>
      <c r="B100" s="77">
        <f>SUM(B94:B99)</f>
        <v>0.1272</v>
      </c>
      <c r="C100" s="74">
        <f t="shared" si="12"/>
        <v>0</v>
      </c>
      <c r="D100" s="7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72" t="s">
        <v>153</v>
      </c>
      <c r="B101" s="77">
        <f>B100*B65</f>
        <v>0.0468096</v>
      </c>
      <c r="C101" s="74">
        <f t="shared" si="12"/>
        <v>0</v>
      </c>
      <c r="D101" s="72"/>
      <c r="E101" s="21"/>
      <c r="F101" s="21"/>
      <c r="G101" s="7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76" t="s">
        <v>154</v>
      </c>
      <c r="B102" s="77">
        <f t="shared" ref="B102:C102" si="13">B100+B101</f>
        <v>0.1740096</v>
      </c>
      <c r="C102" s="78">
        <f t="shared" si="13"/>
        <v>0</v>
      </c>
      <c r="D102" s="7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80"/>
      <c r="B103" s="9"/>
      <c r="C103" s="9"/>
      <c r="D103" s="1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81" t="s">
        <v>155</v>
      </c>
      <c r="B104" s="9"/>
      <c r="C104" s="9"/>
      <c r="D104" s="1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15.75" customHeight="1">
      <c r="A105" s="43" t="s">
        <v>156</v>
      </c>
      <c r="B105" s="44" t="s">
        <v>49</v>
      </c>
      <c r="C105" s="44" t="s">
        <v>50</v>
      </c>
      <c r="D105" s="45" t="s">
        <v>66</v>
      </c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72" t="s">
        <v>157</v>
      </c>
      <c r="B106" s="73">
        <f t="shared" ref="B106:C106" si="14">B65</f>
        <v>0.368</v>
      </c>
      <c r="C106" s="87">
        <f t="shared" si="14"/>
        <v>0</v>
      </c>
      <c r="D106" s="7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72" t="s">
        <v>158</v>
      </c>
      <c r="B107" s="73">
        <f t="shared" ref="B107:C107" si="15">B72</f>
        <v>0.1139544</v>
      </c>
      <c r="C107" s="87">
        <f t="shared" si="15"/>
        <v>0</v>
      </c>
      <c r="D107" s="7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72" t="s">
        <v>159</v>
      </c>
      <c r="B108" s="73">
        <f t="shared" ref="B108:C108" si="16">B78</f>
        <v>0.002052</v>
      </c>
      <c r="C108" s="87">
        <f t="shared" si="16"/>
        <v>0</v>
      </c>
      <c r="D108" s="7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72" t="s">
        <v>160</v>
      </c>
      <c r="B109" s="73">
        <f t="shared" ref="B109:C109" si="17">B90</f>
        <v>0.069552</v>
      </c>
      <c r="C109" s="87">
        <f t="shared" si="17"/>
        <v>0</v>
      </c>
      <c r="D109" s="7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72" t="s">
        <v>161</v>
      </c>
      <c r="B110" s="73">
        <f t="shared" ref="B110:C110" si="18">B102</f>
        <v>0.1740096</v>
      </c>
      <c r="C110" s="87">
        <f t="shared" si="18"/>
        <v>0</v>
      </c>
      <c r="D110" s="7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76" t="s">
        <v>162</v>
      </c>
      <c r="B111" s="77">
        <f t="shared" ref="B111:C111" si="19">SUM(B106:B110)</f>
        <v>0.727568</v>
      </c>
      <c r="C111" s="88">
        <f t="shared" si="19"/>
        <v>0</v>
      </c>
      <c r="D111" s="7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80"/>
      <c r="B112" s="9"/>
      <c r="C112" s="9"/>
      <c r="D112" s="1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15.75" customHeight="1">
      <c r="A113" s="76" t="s">
        <v>163</v>
      </c>
      <c r="B113" s="89">
        <f>C111+C50+C42+C29</f>
        <v>883.6666667</v>
      </c>
      <c r="C113" s="10"/>
      <c r="D113" s="90" t="s">
        <v>164</v>
      </c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91"/>
      <c r="B114" s="9"/>
      <c r="C114" s="9"/>
      <c r="D114" s="1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60" t="s">
        <v>165</v>
      </c>
      <c r="B115" s="9"/>
      <c r="C115" s="9"/>
      <c r="D115" s="1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92" t="s">
        <v>166</v>
      </c>
      <c r="B116" s="33"/>
      <c r="C116" s="33"/>
      <c r="D116" s="3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93" t="s">
        <v>167</v>
      </c>
      <c r="B117" s="94"/>
      <c r="C117" s="95"/>
      <c r="D117" s="96" t="s">
        <v>168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93" t="s">
        <v>169</v>
      </c>
      <c r="B118" s="94"/>
      <c r="C118" s="95"/>
      <c r="D118" s="9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98" t="s">
        <v>170</v>
      </c>
      <c r="B119" s="94"/>
      <c r="C119" s="95"/>
      <c r="D119" s="97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99" t="s">
        <v>171</v>
      </c>
      <c r="B120" s="94"/>
      <c r="C120" s="95"/>
      <c r="D120" s="10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101"/>
      <c r="B121" s="36"/>
      <c r="C121" s="36"/>
      <c r="D121" s="37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60" t="s">
        <v>172</v>
      </c>
      <c r="B122" s="9"/>
      <c r="C122" s="9"/>
      <c r="D122" s="1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15.75" customHeight="1">
      <c r="A123" s="54" t="s">
        <v>173</v>
      </c>
      <c r="B123" s="30" t="s">
        <v>174</v>
      </c>
      <c r="C123" s="30" t="s">
        <v>50</v>
      </c>
      <c r="D123" s="27" t="s">
        <v>66</v>
      </c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46" t="s">
        <v>175</v>
      </c>
      <c r="B124" s="49">
        <v>0.1</v>
      </c>
      <c r="C124" s="102">
        <f>B124*B113</f>
        <v>88.36666667</v>
      </c>
      <c r="D124" s="46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4" t="s">
        <v>176</v>
      </c>
      <c r="B125" s="55">
        <f t="shared" ref="B125:C125" si="20">B124</f>
        <v>0.1</v>
      </c>
      <c r="C125" s="51">
        <f t="shared" si="20"/>
        <v>88.36666667</v>
      </c>
      <c r="D125" s="46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42"/>
      <c r="B126" s="9"/>
      <c r="C126" s="9"/>
      <c r="D126" s="1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60" t="s">
        <v>177</v>
      </c>
      <c r="B127" s="9"/>
      <c r="C127" s="9"/>
      <c r="D127" s="1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15.75" customHeight="1">
      <c r="A128" s="46"/>
      <c r="B128" s="30" t="s">
        <v>174</v>
      </c>
      <c r="C128" s="30" t="s">
        <v>50</v>
      </c>
      <c r="D128" s="27" t="s">
        <v>66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46" t="s">
        <v>178</v>
      </c>
      <c r="B129" s="49">
        <f>B124</f>
        <v>0.1</v>
      </c>
      <c r="C129" s="39">
        <f>SUM(B113+C125)*B129</f>
        <v>97.20333333</v>
      </c>
      <c r="D129" s="46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4" t="s">
        <v>179</v>
      </c>
      <c r="B130" s="55">
        <f t="shared" ref="B130:C130" si="21">B129</f>
        <v>0.1</v>
      </c>
      <c r="C130" s="51">
        <f t="shared" si="21"/>
        <v>97.20333333</v>
      </c>
      <c r="D130" s="2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42"/>
      <c r="B131" s="9"/>
      <c r="C131" s="9"/>
      <c r="D131" s="1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60" t="s">
        <v>180</v>
      </c>
      <c r="B132" s="9"/>
      <c r="C132" s="9"/>
      <c r="D132" s="1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15.75" customHeight="1">
      <c r="A133" s="30" t="s">
        <v>181</v>
      </c>
      <c r="B133" s="30" t="s">
        <v>182</v>
      </c>
      <c r="C133" s="30" t="s">
        <v>50</v>
      </c>
      <c r="D133" s="27" t="s">
        <v>66</v>
      </c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46" t="s">
        <v>183</v>
      </c>
      <c r="B134" s="49">
        <v>0.02</v>
      </c>
      <c r="C134" s="39">
        <f t="shared" ref="C134:C136" si="22">(SUM(B$113+C$125+C$130)/(100%-B$137)*B134)</f>
        <v>24.09547418</v>
      </c>
      <c r="D134" s="46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46" t="s">
        <v>184</v>
      </c>
      <c r="B135" s="49">
        <v>0.076</v>
      </c>
      <c r="C135" s="39">
        <f t="shared" si="22"/>
        <v>91.56280188</v>
      </c>
      <c r="D135" s="46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46" t="s">
        <v>185</v>
      </c>
      <c r="B136" s="49">
        <v>0.0165</v>
      </c>
      <c r="C136" s="39">
        <f t="shared" si="22"/>
        <v>19.8787662</v>
      </c>
      <c r="D136" s="46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4" t="s">
        <v>186</v>
      </c>
      <c r="B137" s="55">
        <f>B134+B135+B136</f>
        <v>0.1125</v>
      </c>
      <c r="C137" s="51">
        <f>SUM(C134:C136)</f>
        <v>135.5370423</v>
      </c>
      <c r="D137" s="46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42"/>
      <c r="B138" s="9"/>
      <c r="C138" s="9"/>
      <c r="D138" s="1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60" t="s">
        <v>187</v>
      </c>
      <c r="B139" s="10"/>
      <c r="C139" s="51">
        <f>C125+C130+C137</f>
        <v>321.1070423</v>
      </c>
      <c r="D139" s="46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42"/>
      <c r="B140" s="9"/>
      <c r="C140" s="9"/>
      <c r="D140" s="1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60" t="s">
        <v>188</v>
      </c>
      <c r="B141" s="10"/>
      <c r="C141" s="51">
        <f>C139+B113</f>
        <v>1204.773709</v>
      </c>
      <c r="D141" s="103" t="s">
        <v>189</v>
      </c>
      <c r="E141" s="21"/>
      <c r="F141" s="71"/>
      <c r="G141" s="7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104"/>
      <c r="B142" s="9"/>
      <c r="C142" s="9"/>
      <c r="D142" s="9"/>
      <c r="E142" s="20"/>
      <c r="F142" s="20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105" t="s">
        <v>190</v>
      </c>
      <c r="B143" s="9"/>
      <c r="C143" s="9"/>
      <c r="D143" s="1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60" t="s">
        <v>191</v>
      </c>
      <c r="B144" s="9"/>
      <c r="C144" s="10"/>
      <c r="D144" s="30" t="s">
        <v>192</v>
      </c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9" t="s">
        <v>193</v>
      </c>
      <c r="B145" s="9"/>
      <c r="C145" s="10"/>
      <c r="D145" s="102">
        <f>C29</f>
        <v>0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9" t="s">
        <v>194</v>
      </c>
      <c r="B146" s="9"/>
      <c r="C146" s="10"/>
      <c r="D146" s="102">
        <f>C42</f>
        <v>883.6666667</v>
      </c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9" t="s">
        <v>195</v>
      </c>
      <c r="B147" s="9"/>
      <c r="C147" s="10"/>
      <c r="D147" s="102">
        <f>C50</f>
        <v>0</v>
      </c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9" t="s">
        <v>196</v>
      </c>
      <c r="B148" s="9"/>
      <c r="C148" s="10"/>
      <c r="D148" s="102">
        <f>C65+C72+C78+C90+C102</f>
        <v>0</v>
      </c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60" t="s">
        <v>197</v>
      </c>
      <c r="B149" s="9"/>
      <c r="C149" s="10"/>
      <c r="D149" s="106">
        <f>SUM(D145:D148)</f>
        <v>883.6666667</v>
      </c>
      <c r="E149" s="71"/>
      <c r="F149" s="7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9" t="s">
        <v>198</v>
      </c>
      <c r="B150" s="9"/>
      <c r="C150" s="10"/>
      <c r="D150" s="102">
        <f>C139</f>
        <v>321.1070423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107" t="s">
        <v>199</v>
      </c>
      <c r="B151" s="9"/>
      <c r="C151" s="10"/>
      <c r="D151" s="108">
        <f>ROUND(D149+D150,2)</f>
        <v>1204.77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7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109" t="s">
        <v>200</v>
      </c>
      <c r="B153" s="109" t="s">
        <v>201</v>
      </c>
      <c r="C153" s="110" t="s">
        <v>202</v>
      </c>
      <c r="D153" s="111" t="s">
        <v>203</v>
      </c>
      <c r="E153" s="21"/>
      <c r="F153" s="7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75" customHeight="1">
      <c r="A154" s="112"/>
      <c r="B154" s="112"/>
      <c r="C154" s="113"/>
      <c r="D154" s="114" t="s">
        <v>204</v>
      </c>
      <c r="E154" s="21"/>
      <c r="F154" s="7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22.5" customHeight="1">
      <c r="A155" s="115" t="s">
        <v>205</v>
      </c>
      <c r="B155" s="116">
        <v>18.0</v>
      </c>
      <c r="C155" s="117">
        <v>0.0</v>
      </c>
      <c r="D155" s="117">
        <f>C155*B155</f>
        <v>0</v>
      </c>
      <c r="E155" s="21"/>
      <c r="F155" s="7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19"/>
      <c r="B156" s="21"/>
      <c r="C156" s="21"/>
      <c r="D156" s="21"/>
      <c r="E156" s="21"/>
      <c r="F156" s="7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ht="15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ht="15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ht="15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ht="15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ht="15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ht="15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ht="15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ht="15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ht="15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ht="15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ht="15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ht="15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ht="15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ht="15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ht="15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ht="15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ht="15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ht="15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ht="15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ht="15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ht="15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ht="15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ht="15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ht="15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ht="15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ht="15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ht="15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ht="15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ht="15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ht="15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ht="15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ht="15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ht="15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ht="15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ht="15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ht="15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ht="15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ht="15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ht="15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ht="15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ht="15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ht="15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ht="15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ht="15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ht="15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ht="15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ht="15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ht="15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ht="15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ht="15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ht="15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ht="15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ht="15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ht="15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ht="15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ht="15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ht="15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ht="15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ht="15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ht="15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ht="15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ht="15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ht="15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ht="15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ht="15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ht="15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ht="15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ht="15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ht="15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ht="15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ht="15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ht="15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ht="15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ht="15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ht="15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ht="15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ht="15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ht="15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ht="15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ht="15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ht="15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ht="15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ht="15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ht="15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ht="15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ht="15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ht="15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ht="15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ht="15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ht="15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ht="15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ht="15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ht="15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ht="15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ht="15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ht="15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ht="15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ht="15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ht="15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ht="15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ht="15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ht="15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ht="15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ht="15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ht="15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ht="15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ht="15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ht="15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ht="15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ht="15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ht="15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ht="15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ht="15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ht="15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ht="15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ht="15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ht="15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ht="15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ht="15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ht="15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ht="15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ht="15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ht="15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ht="15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ht="15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ht="15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ht="15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ht="15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ht="15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ht="15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ht="15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ht="15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ht="15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ht="15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ht="15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ht="15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ht="15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ht="15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ht="15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ht="15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ht="15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ht="15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ht="15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ht="15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ht="15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ht="15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ht="15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ht="15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ht="15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ht="15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ht="15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ht="15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ht="15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ht="15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ht="15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ht="15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ht="15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ht="15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ht="15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ht="15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ht="15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ht="15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ht="15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ht="15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ht="15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ht="15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ht="15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ht="15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ht="15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ht="15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ht="15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ht="15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ht="15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ht="15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ht="15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ht="15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ht="15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ht="15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ht="15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ht="15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ht="15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ht="15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ht="15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ht="15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ht="15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ht="15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ht="15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ht="15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ht="15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ht="15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ht="15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ht="15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ht="15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ht="15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ht="15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ht="15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ht="15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ht="15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ht="15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ht="15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ht="15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ht="15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ht="15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ht="15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ht="15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ht="15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ht="15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ht="15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ht="15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ht="15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ht="15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ht="15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ht="15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ht="15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ht="15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ht="15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ht="15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ht="15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ht="15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ht="15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ht="15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ht="15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ht="15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ht="15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ht="15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ht="15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ht="15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ht="15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ht="15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ht="15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ht="15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ht="15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ht="15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ht="15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ht="15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ht="15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ht="15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ht="15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ht="15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ht="15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ht="15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ht="15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ht="15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ht="15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ht="15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ht="15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ht="15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ht="15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ht="15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ht="15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ht="15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ht="15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ht="15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ht="15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ht="15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ht="15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ht="15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ht="15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ht="15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ht="15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ht="15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ht="15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ht="15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ht="15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ht="15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ht="15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ht="15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ht="15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ht="15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ht="15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ht="15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ht="15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ht="15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ht="15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ht="15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ht="15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ht="15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ht="15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ht="15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ht="15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ht="15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ht="15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ht="15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ht="15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ht="15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ht="15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ht="15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ht="15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ht="15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ht="15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ht="15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ht="15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ht="15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ht="15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ht="15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ht="15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ht="15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ht="15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ht="15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ht="15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ht="15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ht="15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ht="15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ht="15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ht="15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ht="15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ht="15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ht="15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ht="15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ht="15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ht="15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ht="15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ht="15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ht="15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ht="15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ht="15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ht="15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ht="15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ht="15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ht="15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ht="15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ht="15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ht="15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ht="15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ht="15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ht="15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ht="15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ht="15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ht="15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ht="15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ht="15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ht="15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ht="15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ht="15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ht="15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ht="15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ht="15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ht="15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ht="15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ht="15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ht="15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ht="15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ht="15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ht="15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ht="15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ht="15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ht="15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ht="15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ht="15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ht="15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ht="15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ht="15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ht="15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ht="15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ht="15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ht="15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ht="15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ht="15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ht="15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ht="15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ht="15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ht="15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ht="15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ht="15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ht="15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ht="15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ht="15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ht="15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ht="15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ht="15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ht="15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ht="15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ht="15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ht="15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ht="15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ht="15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ht="15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ht="15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ht="15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ht="15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ht="15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ht="15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ht="15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ht="15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ht="15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ht="15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ht="15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ht="15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ht="15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ht="15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ht="15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ht="15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ht="15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ht="15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ht="15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ht="15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ht="15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ht="15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ht="15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ht="15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ht="15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ht="15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ht="15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ht="15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ht="15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ht="15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ht="15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ht="15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ht="15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ht="15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ht="15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ht="15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ht="15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ht="15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ht="15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ht="15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ht="15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ht="15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ht="15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ht="15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ht="15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ht="15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ht="15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ht="15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ht="15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ht="15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ht="15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ht="15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ht="15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ht="15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ht="15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ht="15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ht="15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ht="15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ht="15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ht="15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ht="15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ht="15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ht="15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ht="15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ht="15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ht="15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ht="15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ht="15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ht="15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ht="15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ht="15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ht="15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ht="15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ht="15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ht="15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ht="15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ht="15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ht="15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ht="15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ht="15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ht="15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ht="15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ht="15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ht="15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ht="15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ht="15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ht="15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ht="15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ht="15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ht="15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ht="15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ht="15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ht="15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ht="15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ht="15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ht="15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ht="15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ht="15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ht="15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ht="15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ht="15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ht="15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ht="15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ht="15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ht="15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ht="15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ht="15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ht="15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ht="15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ht="15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ht="15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ht="15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ht="15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ht="15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ht="15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ht="15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ht="15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ht="15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ht="15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ht="15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ht="15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ht="15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ht="15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ht="15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ht="15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ht="15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ht="15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ht="15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ht="15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ht="15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ht="15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ht="15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ht="15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ht="15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ht="15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ht="15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ht="15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ht="15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ht="15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ht="15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ht="15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ht="15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ht="15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ht="15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ht="15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ht="15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ht="15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ht="15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ht="15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ht="15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ht="15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ht="15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ht="15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ht="15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ht="15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ht="15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ht="15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ht="15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ht="15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ht="15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ht="15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ht="15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ht="15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ht="15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ht="15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ht="15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ht="15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ht="15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ht="15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ht="15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ht="15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ht="15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ht="15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ht="15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ht="15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ht="15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ht="15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ht="15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ht="15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ht="15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ht="15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ht="15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ht="15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ht="15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ht="15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ht="15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ht="15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ht="15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ht="15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ht="15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ht="15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ht="15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ht="15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ht="15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ht="15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ht="15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ht="15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ht="15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ht="15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ht="15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ht="15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ht="15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ht="15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ht="15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ht="15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ht="15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ht="15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ht="15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ht="15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ht="15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ht="15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ht="15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ht="15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ht="15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ht="15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ht="15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ht="15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ht="15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ht="15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ht="15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ht="15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ht="15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ht="15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ht="15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ht="15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ht="15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ht="15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ht="15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ht="15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ht="15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ht="15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ht="15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ht="15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ht="15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ht="15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ht="15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ht="15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ht="15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ht="15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ht="15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ht="15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ht="15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ht="15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ht="15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ht="15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ht="15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ht="15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ht="15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ht="15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ht="15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ht="15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ht="15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ht="15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ht="15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ht="15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ht="15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ht="15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ht="15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ht="15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ht="15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ht="15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ht="15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ht="15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ht="15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ht="15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ht="15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ht="15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ht="15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ht="15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ht="15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ht="15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ht="15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ht="15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ht="15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ht="15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ht="15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ht="15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ht="15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ht="15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ht="15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ht="15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ht="15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ht="15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ht="15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ht="15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ht="15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ht="15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ht="15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ht="15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ht="15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ht="15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ht="15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ht="15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ht="15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ht="15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ht="15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ht="15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ht="15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ht="15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ht="15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ht="15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ht="15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ht="15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ht="15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ht="15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ht="15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ht="15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ht="15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ht="15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ht="15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ht="15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ht="15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ht="15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ht="15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ht="15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ht="15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ht="15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ht="15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ht="15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ht="15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ht="15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ht="15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ht="15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ht="15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ht="15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ht="15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ht="15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ht="15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ht="15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ht="15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ht="15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ht="15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ht="15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ht="15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ht="15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ht="15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ht="15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ht="15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ht="15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ht="15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ht="15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ht="15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ht="15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ht="15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ht="15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ht="15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ht="15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ht="15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ht="15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ht="15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ht="15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ht="15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ht="15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ht="15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ht="15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ht="15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ht="15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ht="15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ht="15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ht="15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ht="15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ht="15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ht="15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ht="15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ht="15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ht="15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ht="15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ht="15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ht="15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ht="15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ht="15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ht="15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ht="15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ht="15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ht="15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ht="15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ht="15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ht="15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ht="15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ht="15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ht="15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ht="15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ht="15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ht="15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ht="15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ht="15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ht="15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ht="15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ht="15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ht="15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ht="15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ht="15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ht="15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ht="15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ht="15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ht="15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ht="15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ht="15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ht="15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ht="15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ht="15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ht="15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72">
    <mergeCell ref="A121:D121"/>
    <mergeCell ref="A122:D122"/>
    <mergeCell ref="A126:D126"/>
    <mergeCell ref="A127:D127"/>
    <mergeCell ref="A131:D131"/>
    <mergeCell ref="A132:D132"/>
    <mergeCell ref="A138:D138"/>
    <mergeCell ref="A139:B139"/>
    <mergeCell ref="A140:D140"/>
    <mergeCell ref="A141:B141"/>
    <mergeCell ref="A142:D142"/>
    <mergeCell ref="A143:D143"/>
    <mergeCell ref="A144:C144"/>
    <mergeCell ref="A145:C145"/>
    <mergeCell ref="B153:B154"/>
    <mergeCell ref="C153:C154"/>
    <mergeCell ref="A146:C146"/>
    <mergeCell ref="A147:C147"/>
    <mergeCell ref="A148:C148"/>
    <mergeCell ref="A149:C149"/>
    <mergeCell ref="A150:C150"/>
    <mergeCell ref="A151:C151"/>
    <mergeCell ref="A153:A154"/>
    <mergeCell ref="A1:D1"/>
    <mergeCell ref="A3:D3"/>
    <mergeCell ref="A5:D5"/>
    <mergeCell ref="B6:D6"/>
    <mergeCell ref="B7:C7"/>
    <mergeCell ref="B8:D8"/>
    <mergeCell ref="A9:D9"/>
    <mergeCell ref="A10:D10"/>
    <mergeCell ref="A11:D11"/>
    <mergeCell ref="A12:D12"/>
    <mergeCell ref="A13:C13"/>
    <mergeCell ref="A14:C14"/>
    <mergeCell ref="A15:C15"/>
    <mergeCell ref="A16:C16"/>
    <mergeCell ref="A17:C17"/>
    <mergeCell ref="A18:D19"/>
    <mergeCell ref="A20:C20"/>
    <mergeCell ref="B21:D21"/>
    <mergeCell ref="A22:D22"/>
    <mergeCell ref="A30:D30"/>
    <mergeCell ref="A31:D31"/>
    <mergeCell ref="A32:D32"/>
    <mergeCell ref="A43:D43"/>
    <mergeCell ref="A44:D44"/>
    <mergeCell ref="A51:D51"/>
    <mergeCell ref="A52:D52"/>
    <mergeCell ref="A53:D53"/>
    <mergeCell ref="A54:C54"/>
    <mergeCell ref="A55:D55"/>
    <mergeCell ref="A66:D66"/>
    <mergeCell ref="A67:D67"/>
    <mergeCell ref="A73:D73"/>
    <mergeCell ref="A74:D74"/>
    <mergeCell ref="A79:D79"/>
    <mergeCell ref="A80:D80"/>
    <mergeCell ref="A91:D91"/>
    <mergeCell ref="A92:D92"/>
    <mergeCell ref="A103:D103"/>
    <mergeCell ref="A104:D104"/>
    <mergeCell ref="A112:D112"/>
    <mergeCell ref="B113:C113"/>
    <mergeCell ref="A114:D114"/>
    <mergeCell ref="A115:D115"/>
    <mergeCell ref="A116:D116"/>
    <mergeCell ref="A117:C117"/>
    <mergeCell ref="D117:D120"/>
    <mergeCell ref="A118:C118"/>
    <mergeCell ref="A119:C119"/>
    <mergeCell ref="A120:C120"/>
  </mergeCells>
  <dataValidations>
    <dataValidation type="list" allowBlank="1" showErrorMessage="1" sqref="D54">
      <formula1>$H$57</formula1>
    </dataValidation>
  </dataValidations>
  <printOptions horizontalCentered="1"/>
  <pageMargins bottom="0.7874015748031497" footer="0.0" header="0.0" left="0.7874015748031497" right="0.7874015748031497" top="1.968503937007874"/>
  <pageSetup fitToHeight="0" orientation="portrait"/>
  <headerFooter>
    <oddFooter>&amp;CRua Omilio Monteiro Soares, 997, Fanny - CEP 81030-000 - Curitiba . Paraná - Fone/Fax: 55 (41) 3027-7575 www.viaservicosintegrados.com.br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9.14"/>
    <col customWidth="1" min="2" max="2" width="16.57"/>
    <col customWidth="1" min="3" max="3" width="19.29"/>
    <col customWidth="1" min="4" max="4" width="42.0"/>
    <col customWidth="1" min="5" max="5" width="16.29"/>
    <col customWidth="1" min="6" max="6" width="17.14"/>
    <col customWidth="1" min="7" max="7" width="16.71"/>
    <col customWidth="1" min="8" max="8" width="8.0"/>
  </cols>
  <sheetData>
    <row r="1">
      <c r="A1" s="19" t="s">
        <v>28</v>
      </c>
      <c r="E1" s="20"/>
      <c r="F1" s="20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>
      <c r="A2" s="22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>
      <c r="A3" s="19" t="s">
        <v>29</v>
      </c>
      <c r="E3" s="20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>
      <c r="A4" s="1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>
      <c r="A5" s="23" t="s">
        <v>30</v>
      </c>
      <c r="B5" s="9"/>
      <c r="C5" s="9"/>
      <c r="D5" s="1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>
      <c r="A6" s="24" t="s">
        <v>31</v>
      </c>
      <c r="B6" s="25"/>
      <c r="C6" s="9"/>
      <c r="D6" s="1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>
      <c r="A7" s="24" t="s">
        <v>32</v>
      </c>
      <c r="B7" s="26" t="s">
        <v>33</v>
      </c>
      <c r="C7" s="10"/>
      <c r="D7" s="27" t="s">
        <v>34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>
      <c r="A8" s="24" t="s">
        <v>35</v>
      </c>
      <c r="B8" s="28" t="s">
        <v>11</v>
      </c>
      <c r="C8" s="9"/>
      <c r="D8" s="1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>
      <c r="A9" s="26"/>
      <c r="B9" s="9"/>
      <c r="C9" s="9"/>
      <c r="D9" s="1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>
      <c r="A10" s="28" t="s">
        <v>206</v>
      </c>
      <c r="B10" s="9"/>
      <c r="C10" s="9"/>
      <c r="D10" s="1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>
      <c r="A11" s="28"/>
      <c r="B11" s="9"/>
      <c r="C11" s="9"/>
      <c r="D11" s="1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>
      <c r="A12" s="26" t="s">
        <v>37</v>
      </c>
      <c r="B12" s="9"/>
      <c r="C12" s="9"/>
      <c r="D12" s="1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>
      <c r="A13" s="29" t="s">
        <v>38</v>
      </c>
      <c r="B13" s="9"/>
      <c r="C13" s="10"/>
      <c r="D13" s="30" t="s">
        <v>207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>
      <c r="A14" s="29" t="s">
        <v>40</v>
      </c>
      <c r="B14" s="9"/>
      <c r="C14" s="10"/>
      <c r="D14" s="30" t="s">
        <v>41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>
      <c r="A15" s="29" t="s">
        <v>42</v>
      </c>
      <c r="B15" s="9"/>
      <c r="C15" s="10"/>
      <c r="D15" s="30">
        <v>24.0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>
      <c r="A16" s="29" t="s">
        <v>43</v>
      </c>
      <c r="B16" s="9"/>
      <c r="C16" s="10"/>
      <c r="D16" s="30" t="str">
        <f>D13</f>
        <v>VIGIA NOTURNO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>
      <c r="A17" s="29" t="s">
        <v>44</v>
      </c>
      <c r="B17" s="9"/>
      <c r="C17" s="10"/>
      <c r="D17" s="31">
        <v>46054.0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>
      <c r="A18" s="32"/>
      <c r="B18" s="33"/>
      <c r="C18" s="33"/>
      <c r="D18" s="3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>
      <c r="A19" s="35"/>
      <c r="B19" s="36"/>
      <c r="C19" s="36"/>
      <c r="D19" s="37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>
      <c r="A20" s="38" t="s">
        <v>45</v>
      </c>
      <c r="B20" s="9"/>
      <c r="C20" s="10"/>
      <c r="D20" s="39">
        <v>1.0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40" t="s">
        <v>46</v>
      </c>
      <c r="B21" s="41" t="s">
        <v>47</v>
      </c>
      <c r="C21" s="9"/>
      <c r="D21" s="1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42"/>
      <c r="B22" s="9"/>
      <c r="C22" s="9"/>
      <c r="D22" s="1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43" t="s">
        <v>48</v>
      </c>
      <c r="B23" s="44" t="s">
        <v>49</v>
      </c>
      <c r="C23" s="44" t="s">
        <v>50</v>
      </c>
      <c r="D23" s="45" t="s">
        <v>51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46" t="s">
        <v>52</v>
      </c>
      <c r="B24" s="47"/>
      <c r="C24" s="39">
        <v>0.0</v>
      </c>
      <c r="D24" s="48" t="s">
        <v>53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46" t="s">
        <v>208</v>
      </c>
      <c r="B25" s="49"/>
      <c r="C25" s="39">
        <f>(1412*B25)</f>
        <v>0</v>
      </c>
      <c r="D25" s="48" t="s">
        <v>55</v>
      </c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46" t="s">
        <v>209</v>
      </c>
      <c r="B26" s="49"/>
      <c r="C26" s="39">
        <v>0.0</v>
      </c>
      <c r="D26" s="5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46" t="s">
        <v>57</v>
      </c>
      <c r="B27" s="47"/>
      <c r="C27" s="39">
        <v>0.0</v>
      </c>
      <c r="D27" s="48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4" t="s">
        <v>58</v>
      </c>
      <c r="B28" s="46"/>
      <c r="C28" s="39">
        <f>SUM(C24:C27)</f>
        <v>0</v>
      </c>
      <c r="D28" s="48" t="s">
        <v>59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4" t="s">
        <v>60</v>
      </c>
      <c r="B29" s="46"/>
      <c r="C29" s="51">
        <f>C28</f>
        <v>0</v>
      </c>
      <c r="D29" s="48" t="s">
        <v>61</v>
      </c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32"/>
      <c r="B30" s="33"/>
      <c r="C30" s="33"/>
      <c r="D30" s="34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52" t="s">
        <v>62</v>
      </c>
      <c r="B31" s="33"/>
      <c r="C31" s="33"/>
      <c r="D31" s="34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53" t="s">
        <v>63</v>
      </c>
      <c r="B32" s="36"/>
      <c r="C32" s="36"/>
      <c r="D32" s="37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42.75" customHeight="1">
      <c r="A33" s="54" t="s">
        <v>64</v>
      </c>
      <c r="B33" s="30" t="s">
        <v>65</v>
      </c>
      <c r="C33" s="30" t="s">
        <v>50</v>
      </c>
      <c r="D33" s="27" t="s">
        <v>66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42.75" customHeight="1">
      <c r="A34" s="46" t="s">
        <v>67</v>
      </c>
      <c r="B34" s="55" t="str">
        <f t="shared" ref="B34:B41" si="1">C34/$C$29</f>
        <v>#DIV/0!</v>
      </c>
      <c r="C34" s="56">
        <f>(6*15.5*2)-(C24*6%)</f>
        <v>186</v>
      </c>
      <c r="D34" s="50" t="s">
        <v>210</v>
      </c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48" t="s">
        <v>69</v>
      </c>
      <c r="B35" s="55" t="str">
        <f t="shared" si="1"/>
        <v>#DIV/0!</v>
      </c>
      <c r="C35" s="58">
        <f>805*0.8</f>
        <v>644</v>
      </c>
      <c r="D35" s="48" t="s">
        <v>211</v>
      </c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46" t="s">
        <v>71</v>
      </c>
      <c r="B36" s="55" t="str">
        <f t="shared" si="1"/>
        <v>#DIV/0!</v>
      </c>
      <c r="C36" s="56">
        <v>0.0</v>
      </c>
      <c r="D36" s="4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46" t="s">
        <v>72</v>
      </c>
      <c r="B37" s="55" t="str">
        <f t="shared" si="1"/>
        <v>#DIV/0!</v>
      </c>
      <c r="C37" s="56">
        <v>0.0</v>
      </c>
      <c r="D37" s="48" t="s">
        <v>212</v>
      </c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46" t="s">
        <v>74</v>
      </c>
      <c r="B38" s="55" t="str">
        <f t="shared" si="1"/>
        <v>#DIV/0!</v>
      </c>
      <c r="C38" s="56">
        <v>0.0</v>
      </c>
      <c r="D38" s="48" t="s">
        <v>213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46" t="s">
        <v>76</v>
      </c>
      <c r="B39" s="55" t="str">
        <f t="shared" si="1"/>
        <v>#DIV/0!</v>
      </c>
      <c r="C39" s="56">
        <v>0.0</v>
      </c>
      <c r="D39" s="4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46" t="s">
        <v>77</v>
      </c>
      <c r="B40" s="55" t="str">
        <f t="shared" si="1"/>
        <v>#DIV/0!</v>
      </c>
      <c r="C40" s="56">
        <v>0.0</v>
      </c>
      <c r="D40" s="48" t="s">
        <v>214</v>
      </c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46" t="s">
        <v>79</v>
      </c>
      <c r="B41" s="55" t="str">
        <f t="shared" si="1"/>
        <v>#DIV/0!</v>
      </c>
      <c r="C41" s="56">
        <f>C35/12</f>
        <v>53.66666667</v>
      </c>
      <c r="D41" s="4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4" t="s">
        <v>80</v>
      </c>
      <c r="B42" s="55" t="str">
        <f t="shared" ref="B42:C42" si="2">SUM(B34:B41)</f>
        <v>#DIV/0!</v>
      </c>
      <c r="C42" s="59">
        <f t="shared" si="2"/>
        <v>883.6666667</v>
      </c>
      <c r="D42" s="48" t="s">
        <v>81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42"/>
      <c r="B43" s="9"/>
      <c r="C43" s="9"/>
      <c r="D43" s="1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60" t="s">
        <v>82</v>
      </c>
      <c r="B44" s="9"/>
      <c r="C44" s="9"/>
      <c r="D44" s="1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38.25" customHeight="1">
      <c r="A45" s="54" t="s">
        <v>64</v>
      </c>
      <c r="B45" s="30" t="s">
        <v>65</v>
      </c>
      <c r="C45" s="30" t="s">
        <v>50</v>
      </c>
      <c r="D45" s="27" t="s">
        <v>66</v>
      </c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>
      <c r="A46" s="46" t="s">
        <v>83</v>
      </c>
      <c r="B46" s="55" t="str">
        <f>C46/$C$29</f>
        <v>#DIV/0!</v>
      </c>
      <c r="C46" s="39">
        <v>0.0</v>
      </c>
      <c r="D46" s="50" t="s">
        <v>84</v>
      </c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46" t="s">
        <v>85</v>
      </c>
      <c r="B47" s="49"/>
      <c r="C47" s="39">
        <f>C29*B47</f>
        <v>0</v>
      </c>
      <c r="D47" s="4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46" t="s">
        <v>86</v>
      </c>
      <c r="B48" s="49"/>
      <c r="C48" s="39">
        <f>C29*B48</f>
        <v>0</v>
      </c>
      <c r="D48" s="4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46" t="s">
        <v>87</v>
      </c>
      <c r="B49" s="46"/>
      <c r="C49" s="39"/>
      <c r="D49" s="46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4" t="s">
        <v>88</v>
      </c>
      <c r="B50" s="55" t="str">
        <f t="shared" ref="B50:C50" si="3">SUM(B46:B49)</f>
        <v>#DIV/0!</v>
      </c>
      <c r="C50" s="61">
        <f t="shared" si="3"/>
        <v>0</v>
      </c>
      <c r="D50" s="46" t="s">
        <v>89</v>
      </c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32"/>
      <c r="B51" s="33"/>
      <c r="C51" s="33"/>
      <c r="D51" s="34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52" t="s">
        <v>90</v>
      </c>
      <c r="B52" s="33"/>
      <c r="C52" s="33"/>
      <c r="D52" s="34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62" t="s">
        <v>91</v>
      </c>
      <c r="D53" s="6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64" t="s">
        <v>215</v>
      </c>
      <c r="B54" s="65"/>
      <c r="C54" s="66"/>
      <c r="D54" s="67" t="s">
        <v>93</v>
      </c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60" t="s">
        <v>94</v>
      </c>
      <c r="B55" s="9"/>
      <c r="C55" s="9"/>
      <c r="D55" s="1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54" t="s">
        <v>95</v>
      </c>
      <c r="B56" s="30" t="s">
        <v>49</v>
      </c>
      <c r="C56" s="30" t="s">
        <v>50</v>
      </c>
      <c r="D56" s="27" t="s">
        <v>66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48.0" customHeight="1">
      <c r="A57" s="46" t="s">
        <v>96</v>
      </c>
      <c r="B57" s="49">
        <v>0.2</v>
      </c>
      <c r="C57" s="69">
        <f t="shared" ref="C57:C64" si="4">B57*$C$29</f>
        <v>0</v>
      </c>
      <c r="D57" s="50" t="s">
        <v>97</v>
      </c>
      <c r="E57" s="21"/>
      <c r="F57" s="21"/>
      <c r="G57" s="7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48.0" customHeight="1">
      <c r="A58" s="46" t="s">
        <v>98</v>
      </c>
      <c r="B58" s="49">
        <v>0.015</v>
      </c>
      <c r="C58" s="69">
        <f t="shared" si="4"/>
        <v>0</v>
      </c>
      <c r="D58" s="50" t="s">
        <v>99</v>
      </c>
      <c r="E58" s="21"/>
      <c r="F58" s="21"/>
      <c r="G58" s="7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48.0" customHeight="1">
      <c r="A59" s="72" t="s">
        <v>100</v>
      </c>
      <c r="B59" s="73">
        <v>0.002</v>
      </c>
      <c r="C59" s="74">
        <f t="shared" si="4"/>
        <v>0</v>
      </c>
      <c r="D59" s="79" t="s">
        <v>101</v>
      </c>
      <c r="E59" s="21"/>
      <c r="F59" s="21"/>
      <c r="G59" s="7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48.0" customHeight="1">
      <c r="A60" s="72" t="s">
        <v>102</v>
      </c>
      <c r="B60" s="73">
        <v>0.01</v>
      </c>
      <c r="C60" s="74">
        <f t="shared" si="4"/>
        <v>0</v>
      </c>
      <c r="D60" s="79" t="s">
        <v>103</v>
      </c>
      <c r="E60" s="21"/>
      <c r="F60" s="21"/>
      <c r="G60" s="7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48.0" customHeight="1">
      <c r="A61" s="72" t="s">
        <v>104</v>
      </c>
      <c r="B61" s="73">
        <v>0.025</v>
      </c>
      <c r="C61" s="74">
        <f t="shared" si="4"/>
        <v>0</v>
      </c>
      <c r="D61" s="79" t="s">
        <v>105</v>
      </c>
      <c r="E61" s="21"/>
      <c r="F61" s="21"/>
      <c r="G61" s="7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48.0" customHeight="1">
      <c r="A62" s="72" t="s">
        <v>106</v>
      </c>
      <c r="B62" s="73">
        <v>0.03</v>
      </c>
      <c r="C62" s="74">
        <f t="shared" si="4"/>
        <v>0</v>
      </c>
      <c r="D62" s="79" t="s">
        <v>107</v>
      </c>
      <c r="E62" s="21"/>
      <c r="F62" s="21"/>
      <c r="G62" s="7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48.0" customHeight="1">
      <c r="A63" s="72" t="s">
        <v>108</v>
      </c>
      <c r="B63" s="73">
        <v>0.08</v>
      </c>
      <c r="C63" s="74">
        <f t="shared" si="4"/>
        <v>0</v>
      </c>
      <c r="D63" s="79" t="s">
        <v>109</v>
      </c>
      <c r="E63" s="21"/>
      <c r="F63" s="21"/>
      <c r="G63" s="7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48.0" customHeight="1">
      <c r="A64" s="72" t="s">
        <v>110</v>
      </c>
      <c r="B64" s="73">
        <v>0.006</v>
      </c>
      <c r="C64" s="74">
        <f t="shared" si="4"/>
        <v>0</v>
      </c>
      <c r="D64" s="79" t="s">
        <v>111</v>
      </c>
      <c r="E64" s="21"/>
      <c r="F64" s="21"/>
      <c r="G64" s="7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37.5" customHeight="1">
      <c r="A65" s="76" t="s">
        <v>112</v>
      </c>
      <c r="B65" s="77">
        <f t="shared" ref="B65:C65" si="5">SUM(B57:B64)</f>
        <v>0.368</v>
      </c>
      <c r="C65" s="78">
        <f t="shared" si="5"/>
        <v>0</v>
      </c>
      <c r="D65" s="79" t="s">
        <v>113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37.5" customHeight="1">
      <c r="A66" s="80"/>
      <c r="B66" s="9"/>
      <c r="C66" s="9"/>
      <c r="D66" s="1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81" t="s">
        <v>114</v>
      </c>
      <c r="B67" s="9"/>
      <c r="C67" s="9"/>
      <c r="D67" s="1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54" t="s">
        <v>95</v>
      </c>
      <c r="B68" s="44" t="s">
        <v>49</v>
      </c>
      <c r="C68" s="44" t="s">
        <v>50</v>
      </c>
      <c r="D68" s="45" t="s">
        <v>66</v>
      </c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72" t="s">
        <v>115</v>
      </c>
      <c r="B69" s="82">
        <v>0.0833</v>
      </c>
      <c r="C69" s="74">
        <f t="shared" ref="C69:C71" si="6">B69*$C$29</f>
        <v>0</v>
      </c>
      <c r="D69" s="72"/>
      <c r="E69" s="21"/>
      <c r="F69" s="21"/>
      <c r="G69" s="7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76" t="s">
        <v>116</v>
      </c>
      <c r="B70" s="83">
        <v>0.0833</v>
      </c>
      <c r="C70" s="78">
        <f t="shared" si="6"/>
        <v>0</v>
      </c>
      <c r="D70" s="72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72" t="s">
        <v>117</v>
      </c>
      <c r="B71" s="82">
        <f>B70*B65</f>
        <v>0.0306544</v>
      </c>
      <c r="C71" s="74">
        <f t="shared" si="6"/>
        <v>0</v>
      </c>
      <c r="D71" s="72"/>
      <c r="E71" s="21"/>
      <c r="F71" s="21"/>
      <c r="G71" s="7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76" t="s">
        <v>118</v>
      </c>
      <c r="B72" s="77">
        <f t="shared" ref="B72:C72" si="7">B70+B71</f>
        <v>0.1139544</v>
      </c>
      <c r="C72" s="78">
        <f t="shared" si="7"/>
        <v>0</v>
      </c>
      <c r="D72" s="72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80"/>
      <c r="B73" s="9"/>
      <c r="C73" s="9"/>
      <c r="D73" s="1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81" t="s">
        <v>119</v>
      </c>
      <c r="B74" s="9"/>
      <c r="C74" s="9"/>
      <c r="D74" s="1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34.5" customHeight="1">
      <c r="A75" s="54" t="s">
        <v>95</v>
      </c>
      <c r="B75" s="44" t="s">
        <v>49</v>
      </c>
      <c r="C75" s="44" t="s">
        <v>50</v>
      </c>
      <c r="D75" s="45" t="s">
        <v>66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72" t="s">
        <v>120</v>
      </c>
      <c r="B76" s="73">
        <v>0.0015</v>
      </c>
      <c r="C76" s="74">
        <f t="shared" ref="C76:C77" si="8">B76*$C$29</f>
        <v>0</v>
      </c>
      <c r="D76" s="72" t="s">
        <v>121</v>
      </c>
      <c r="E76" s="21"/>
      <c r="F76" s="21"/>
      <c r="G76" s="7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72" t="s">
        <v>122</v>
      </c>
      <c r="B77" s="73">
        <f>B76*B65</f>
        <v>0.000552</v>
      </c>
      <c r="C77" s="74">
        <f t="shared" si="8"/>
        <v>0</v>
      </c>
      <c r="D77" s="72" t="s">
        <v>123</v>
      </c>
      <c r="E77" s="21"/>
      <c r="F77" s="21"/>
      <c r="G77" s="7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76" t="s">
        <v>124</v>
      </c>
      <c r="B78" s="77">
        <f t="shared" ref="B78:C78" si="9">SUM(B76:B77)</f>
        <v>0.002052</v>
      </c>
      <c r="C78" s="78">
        <f t="shared" si="9"/>
        <v>0</v>
      </c>
      <c r="D78" s="72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80"/>
      <c r="B79" s="9"/>
      <c r="C79" s="9"/>
      <c r="D79" s="1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81" t="s">
        <v>125</v>
      </c>
      <c r="B80" s="9"/>
      <c r="C80" s="9"/>
      <c r="D80" s="1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32.25" customHeight="1">
      <c r="A81" s="54" t="s">
        <v>95</v>
      </c>
      <c r="B81" s="44" t="s">
        <v>49</v>
      </c>
      <c r="C81" s="44" t="s">
        <v>50</v>
      </c>
      <c r="D81" s="45" t="s">
        <v>66</v>
      </c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32.25" customHeight="1">
      <c r="A82" s="72" t="s">
        <v>126</v>
      </c>
      <c r="B82" s="73">
        <v>0.0194</v>
      </c>
      <c r="C82" s="74">
        <f t="shared" ref="C82:C89" si="10">B82*$C$29</f>
        <v>0</v>
      </c>
      <c r="D82" s="84" t="s">
        <v>127</v>
      </c>
      <c r="E82" s="21"/>
      <c r="F82" s="21"/>
      <c r="G82" s="7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48.0" customHeight="1">
      <c r="A83" s="72" t="s">
        <v>128</v>
      </c>
      <c r="B83" s="73">
        <f>B82*8%</f>
        <v>0.001552</v>
      </c>
      <c r="C83" s="85">
        <f t="shared" si="10"/>
        <v>0</v>
      </c>
      <c r="D83" s="79" t="s">
        <v>129</v>
      </c>
      <c r="E83" s="21"/>
      <c r="F83" s="21"/>
      <c r="G83" s="7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32.25" customHeight="1">
      <c r="A84" s="72" t="s">
        <v>130</v>
      </c>
      <c r="B84" s="82">
        <f>B83*50%</f>
        <v>0.000776</v>
      </c>
      <c r="C84" s="74">
        <f t="shared" si="10"/>
        <v>0</v>
      </c>
      <c r="D84" s="79" t="s">
        <v>123</v>
      </c>
      <c r="E84" s="21"/>
      <c r="F84" s="21"/>
      <c r="G84" s="7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32.25" customHeight="1">
      <c r="A85" s="72" t="s">
        <v>131</v>
      </c>
      <c r="B85" s="73">
        <v>0.0054</v>
      </c>
      <c r="C85" s="74">
        <f t="shared" si="10"/>
        <v>0</v>
      </c>
      <c r="D85" s="79" t="s">
        <v>132</v>
      </c>
      <c r="E85" s="21"/>
      <c r="F85" s="21"/>
      <c r="G85" s="7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32.25" customHeight="1">
      <c r="A86" s="72" t="s">
        <v>133</v>
      </c>
      <c r="B86" s="73">
        <v>1.0E-4</v>
      </c>
      <c r="C86" s="74">
        <f t="shared" si="10"/>
        <v>0</v>
      </c>
      <c r="D86" s="79" t="s">
        <v>134</v>
      </c>
      <c r="E86" s="21"/>
      <c r="F86" s="21"/>
      <c r="G86" s="7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32.25" customHeight="1">
      <c r="A87" s="72" t="s">
        <v>135</v>
      </c>
      <c r="B87" s="73">
        <f>((B85+B86))*B65</f>
        <v>0.002024</v>
      </c>
      <c r="C87" s="74">
        <f t="shared" si="10"/>
        <v>0</v>
      </c>
      <c r="D87" s="79" t="s">
        <v>123</v>
      </c>
      <c r="E87" s="21"/>
      <c r="F87" s="21"/>
      <c r="G87" s="7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51.0" customHeight="1">
      <c r="A88" s="72" t="s">
        <v>136</v>
      </c>
      <c r="B88" s="73">
        <v>0.04</v>
      </c>
      <c r="C88" s="74">
        <f t="shared" si="10"/>
        <v>0</v>
      </c>
      <c r="D88" s="79" t="s">
        <v>137</v>
      </c>
      <c r="E88" s="21"/>
      <c r="F88" s="21"/>
      <c r="G88" s="7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32.25" customHeight="1">
      <c r="A89" s="72" t="s">
        <v>138</v>
      </c>
      <c r="B89" s="73">
        <v>3.0E-4</v>
      </c>
      <c r="C89" s="74">
        <f t="shared" si="10"/>
        <v>0</v>
      </c>
      <c r="D89" s="79" t="s">
        <v>139</v>
      </c>
      <c r="E89" s="21"/>
      <c r="F89" s="21"/>
      <c r="G89" s="7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76" t="s">
        <v>140</v>
      </c>
      <c r="B90" s="77">
        <f t="shared" ref="B90:C90" si="11">SUM(B82:B89)</f>
        <v>0.069552</v>
      </c>
      <c r="C90" s="78">
        <f t="shared" si="11"/>
        <v>0</v>
      </c>
      <c r="D90" s="72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80"/>
      <c r="B91" s="9"/>
      <c r="C91" s="9"/>
      <c r="D91" s="1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81" t="s">
        <v>141</v>
      </c>
      <c r="B92" s="9"/>
      <c r="C92" s="9"/>
      <c r="D92" s="1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33.75" customHeight="1">
      <c r="A93" s="54" t="s">
        <v>95</v>
      </c>
      <c r="B93" s="44" t="s">
        <v>49</v>
      </c>
      <c r="C93" s="44" t="s">
        <v>50</v>
      </c>
      <c r="D93" s="45" t="s">
        <v>66</v>
      </c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72" t="s">
        <v>142</v>
      </c>
      <c r="B94" s="77">
        <v>0.1111</v>
      </c>
      <c r="C94" s="74">
        <f t="shared" ref="C94:C101" si="12">B94*$C$29</f>
        <v>0</v>
      </c>
      <c r="D94" s="84" t="s">
        <v>143</v>
      </c>
      <c r="E94" s="21"/>
      <c r="F94" s="21"/>
      <c r="G94" s="7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72" t="s">
        <v>144</v>
      </c>
      <c r="B95" s="77">
        <v>0.0045</v>
      </c>
      <c r="C95" s="74">
        <f t="shared" si="12"/>
        <v>0</v>
      </c>
      <c r="D95" s="84" t="s">
        <v>145</v>
      </c>
      <c r="E95" s="21"/>
      <c r="F95" s="21"/>
      <c r="G95" s="7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72" t="s">
        <v>146</v>
      </c>
      <c r="B96" s="77">
        <v>0.0063</v>
      </c>
      <c r="C96" s="74">
        <f t="shared" si="12"/>
        <v>0</v>
      </c>
      <c r="D96" s="84" t="s">
        <v>147</v>
      </c>
      <c r="E96" s="21"/>
      <c r="F96" s="21"/>
      <c r="G96" s="7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72" t="s">
        <v>148</v>
      </c>
      <c r="B97" s="77">
        <v>0.0021</v>
      </c>
      <c r="C97" s="74">
        <f t="shared" si="12"/>
        <v>0</v>
      </c>
      <c r="D97" s="84"/>
      <c r="E97" s="21"/>
      <c r="F97" s="21"/>
      <c r="G97" s="7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72" t="s">
        <v>149</v>
      </c>
      <c r="B98" s="77">
        <v>0.0032</v>
      </c>
      <c r="C98" s="74">
        <f t="shared" si="12"/>
        <v>0</v>
      </c>
      <c r="D98" s="84" t="s">
        <v>150</v>
      </c>
      <c r="E98" s="21"/>
      <c r="F98" s="21"/>
      <c r="G98" s="7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72" t="s">
        <v>151</v>
      </c>
      <c r="B99" s="86">
        <v>0.0</v>
      </c>
      <c r="C99" s="74">
        <f t="shared" si="12"/>
        <v>0</v>
      </c>
      <c r="D99" s="7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76" t="s">
        <v>152</v>
      </c>
      <c r="B100" s="77">
        <f>SUM(B94:B99)</f>
        <v>0.1272</v>
      </c>
      <c r="C100" s="74">
        <f t="shared" si="12"/>
        <v>0</v>
      </c>
      <c r="D100" s="7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72" t="s">
        <v>153</v>
      </c>
      <c r="B101" s="77">
        <f>B100*B65</f>
        <v>0.0468096</v>
      </c>
      <c r="C101" s="74">
        <f t="shared" si="12"/>
        <v>0</v>
      </c>
      <c r="D101" s="72"/>
      <c r="E101" s="21"/>
      <c r="F101" s="21"/>
      <c r="G101" s="7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76" t="s">
        <v>154</v>
      </c>
      <c r="B102" s="77">
        <f t="shared" ref="B102:C102" si="13">B100+B101</f>
        <v>0.1740096</v>
      </c>
      <c r="C102" s="78">
        <f t="shared" si="13"/>
        <v>0</v>
      </c>
      <c r="D102" s="7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80"/>
      <c r="B103" s="9"/>
      <c r="C103" s="9"/>
      <c r="D103" s="1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81" t="s">
        <v>155</v>
      </c>
      <c r="B104" s="9"/>
      <c r="C104" s="9"/>
      <c r="D104" s="1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29.25" customHeight="1">
      <c r="A105" s="43" t="s">
        <v>156</v>
      </c>
      <c r="B105" s="44" t="s">
        <v>49</v>
      </c>
      <c r="C105" s="44" t="s">
        <v>50</v>
      </c>
      <c r="D105" s="45" t="s">
        <v>66</v>
      </c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72" t="s">
        <v>157</v>
      </c>
      <c r="B106" s="73">
        <f t="shared" ref="B106:C106" si="14">B65</f>
        <v>0.368</v>
      </c>
      <c r="C106" s="87">
        <f t="shared" si="14"/>
        <v>0</v>
      </c>
      <c r="D106" s="7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72" t="s">
        <v>158</v>
      </c>
      <c r="B107" s="73">
        <f t="shared" ref="B107:C107" si="15">B72</f>
        <v>0.1139544</v>
      </c>
      <c r="C107" s="87">
        <f t="shared" si="15"/>
        <v>0</v>
      </c>
      <c r="D107" s="7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72" t="s">
        <v>159</v>
      </c>
      <c r="B108" s="73">
        <f t="shared" ref="B108:C108" si="16">B78</f>
        <v>0.002052</v>
      </c>
      <c r="C108" s="87">
        <f t="shared" si="16"/>
        <v>0</v>
      </c>
      <c r="D108" s="7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72" t="s">
        <v>160</v>
      </c>
      <c r="B109" s="73">
        <f t="shared" ref="B109:C109" si="17">B90</f>
        <v>0.069552</v>
      </c>
      <c r="C109" s="87">
        <f t="shared" si="17"/>
        <v>0</v>
      </c>
      <c r="D109" s="7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72" t="s">
        <v>161</v>
      </c>
      <c r="B110" s="73">
        <f t="shared" ref="B110:C110" si="18">B102</f>
        <v>0.1740096</v>
      </c>
      <c r="C110" s="87">
        <f t="shared" si="18"/>
        <v>0</v>
      </c>
      <c r="D110" s="7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76" t="s">
        <v>162</v>
      </c>
      <c r="B111" s="77">
        <f t="shared" ref="B111:C111" si="19">SUM(B106:B110)</f>
        <v>0.727568</v>
      </c>
      <c r="C111" s="88">
        <f t="shared" si="19"/>
        <v>0</v>
      </c>
      <c r="D111" s="7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80"/>
      <c r="B112" s="9"/>
      <c r="C112" s="9"/>
      <c r="D112" s="1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37.5" customHeight="1">
      <c r="A113" s="76" t="s">
        <v>163</v>
      </c>
      <c r="B113" s="89">
        <f>C111+C50+C42+C29</f>
        <v>883.6666667</v>
      </c>
      <c r="C113" s="10"/>
      <c r="D113" s="90" t="s">
        <v>164</v>
      </c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91"/>
      <c r="B114" s="9"/>
      <c r="C114" s="9"/>
      <c r="D114" s="1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60" t="s">
        <v>165</v>
      </c>
      <c r="B115" s="9"/>
      <c r="C115" s="9"/>
      <c r="D115" s="1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92" t="s">
        <v>166</v>
      </c>
      <c r="B116" s="33"/>
      <c r="C116" s="33"/>
      <c r="D116" s="3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93" t="s">
        <v>167</v>
      </c>
      <c r="B117" s="94"/>
      <c r="C117" s="95"/>
      <c r="D117" s="96" t="s">
        <v>168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93" t="s">
        <v>216</v>
      </c>
      <c r="B118" s="94"/>
      <c r="C118" s="95"/>
      <c r="D118" s="9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98" t="s">
        <v>217</v>
      </c>
      <c r="B119" s="94"/>
      <c r="C119" s="95"/>
      <c r="D119" s="97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99" t="s">
        <v>218</v>
      </c>
      <c r="B120" s="94"/>
      <c r="C120" s="95"/>
      <c r="D120" s="10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101"/>
      <c r="B121" s="36"/>
      <c r="C121" s="36"/>
      <c r="D121" s="37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60" t="s">
        <v>172</v>
      </c>
      <c r="B122" s="9"/>
      <c r="C122" s="9"/>
      <c r="D122" s="1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30.75" customHeight="1">
      <c r="A123" s="54" t="s">
        <v>173</v>
      </c>
      <c r="B123" s="30" t="s">
        <v>174</v>
      </c>
      <c r="C123" s="30" t="s">
        <v>50</v>
      </c>
      <c r="D123" s="27" t="s">
        <v>66</v>
      </c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46" t="s">
        <v>175</v>
      </c>
      <c r="B124" s="49">
        <v>0.1</v>
      </c>
      <c r="C124" s="102">
        <f>B124*B113</f>
        <v>88.36666667</v>
      </c>
      <c r="D124" s="46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4" t="s">
        <v>176</v>
      </c>
      <c r="B125" s="55">
        <f t="shared" ref="B125:C125" si="20">B124</f>
        <v>0.1</v>
      </c>
      <c r="C125" s="51">
        <f t="shared" si="20"/>
        <v>88.36666667</v>
      </c>
      <c r="D125" s="46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42"/>
      <c r="B126" s="9"/>
      <c r="C126" s="9"/>
      <c r="D126" s="1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60" t="s">
        <v>177</v>
      </c>
      <c r="B127" s="9"/>
      <c r="C127" s="9"/>
      <c r="D127" s="1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30.75" customHeight="1">
      <c r="A128" s="46"/>
      <c r="B128" s="30" t="s">
        <v>174</v>
      </c>
      <c r="C128" s="30" t="s">
        <v>50</v>
      </c>
      <c r="D128" s="27" t="s">
        <v>66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46" t="s">
        <v>178</v>
      </c>
      <c r="B129" s="49">
        <f>B124</f>
        <v>0.1</v>
      </c>
      <c r="C129" s="39">
        <f>SUM(B113+C125)*B129</f>
        <v>97.20333333</v>
      </c>
      <c r="D129" s="46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4" t="s">
        <v>179</v>
      </c>
      <c r="B130" s="55">
        <f t="shared" ref="B130:C130" si="21">B129</f>
        <v>0.1</v>
      </c>
      <c r="C130" s="51">
        <f t="shared" si="21"/>
        <v>97.20333333</v>
      </c>
      <c r="D130" s="2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42"/>
      <c r="B131" s="9"/>
      <c r="C131" s="9"/>
      <c r="D131" s="1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60" t="s">
        <v>180</v>
      </c>
      <c r="B132" s="9"/>
      <c r="C132" s="9"/>
      <c r="D132" s="1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30.75" customHeight="1">
      <c r="A133" s="30" t="s">
        <v>181</v>
      </c>
      <c r="B133" s="30" t="s">
        <v>182</v>
      </c>
      <c r="C133" s="30" t="s">
        <v>50</v>
      </c>
      <c r="D133" s="27" t="s">
        <v>66</v>
      </c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46" t="s">
        <v>183</v>
      </c>
      <c r="B134" s="49">
        <v>0.02</v>
      </c>
      <c r="C134" s="39">
        <f t="shared" ref="C134:C136" si="22">(SUM(B$113+C$125+C$130)/(100%-B$137)*B134)</f>
        <v>24.09547418</v>
      </c>
      <c r="D134" s="46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46" t="s">
        <v>184</v>
      </c>
      <c r="B135" s="49">
        <v>0.076</v>
      </c>
      <c r="C135" s="39">
        <f t="shared" si="22"/>
        <v>91.56280188</v>
      </c>
      <c r="D135" s="46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46" t="s">
        <v>185</v>
      </c>
      <c r="B136" s="49">
        <v>0.0165</v>
      </c>
      <c r="C136" s="39">
        <f t="shared" si="22"/>
        <v>19.8787662</v>
      </c>
      <c r="D136" s="46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4" t="s">
        <v>186</v>
      </c>
      <c r="B137" s="55">
        <f>B134+B135+B136</f>
        <v>0.1125</v>
      </c>
      <c r="C137" s="51">
        <f>SUM(C134:C136)</f>
        <v>135.5370423</v>
      </c>
      <c r="D137" s="46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42"/>
      <c r="B138" s="9"/>
      <c r="C138" s="9"/>
      <c r="D138" s="1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60" t="s">
        <v>187</v>
      </c>
      <c r="B139" s="10"/>
      <c r="C139" s="51">
        <f>C125+C130+C137</f>
        <v>321.1070423</v>
      </c>
      <c r="D139" s="46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42"/>
      <c r="B140" s="9"/>
      <c r="C140" s="9"/>
      <c r="D140" s="1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60" t="s">
        <v>188</v>
      </c>
      <c r="B141" s="10"/>
      <c r="C141" s="51">
        <f>C139+B113</f>
        <v>1204.773709</v>
      </c>
      <c r="D141" s="103" t="s">
        <v>189</v>
      </c>
      <c r="E141" s="21"/>
      <c r="F141" s="71"/>
      <c r="G141" s="7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104"/>
      <c r="B142" s="9"/>
      <c r="C142" s="9"/>
      <c r="D142" s="9"/>
      <c r="E142" s="20"/>
      <c r="F142" s="20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105" t="s">
        <v>190</v>
      </c>
      <c r="B143" s="9"/>
      <c r="C143" s="9"/>
      <c r="D143" s="1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60" t="s">
        <v>191</v>
      </c>
      <c r="B144" s="9"/>
      <c r="C144" s="10"/>
      <c r="D144" s="30" t="s">
        <v>192</v>
      </c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9" t="s">
        <v>193</v>
      </c>
      <c r="B145" s="9"/>
      <c r="C145" s="10"/>
      <c r="D145" s="102">
        <f>C29</f>
        <v>0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9" t="s">
        <v>194</v>
      </c>
      <c r="B146" s="9"/>
      <c r="C146" s="10"/>
      <c r="D146" s="102">
        <f>C42</f>
        <v>883.6666667</v>
      </c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9" t="s">
        <v>195</v>
      </c>
      <c r="B147" s="9"/>
      <c r="C147" s="10"/>
      <c r="D147" s="102">
        <f>C50</f>
        <v>0</v>
      </c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9" t="s">
        <v>196</v>
      </c>
      <c r="B148" s="9"/>
      <c r="C148" s="10"/>
      <c r="D148" s="102">
        <f>C65+C72+C78+C90+C102</f>
        <v>0</v>
      </c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60" t="s">
        <v>197</v>
      </c>
      <c r="B149" s="9"/>
      <c r="C149" s="10"/>
      <c r="D149" s="106">
        <f>SUM(D145:D148)</f>
        <v>883.6666667</v>
      </c>
      <c r="E149" s="71"/>
      <c r="F149" s="7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9" t="s">
        <v>198</v>
      </c>
      <c r="B150" s="9"/>
      <c r="C150" s="10"/>
      <c r="D150" s="102">
        <f>C139</f>
        <v>321.1070423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107" t="s">
        <v>199</v>
      </c>
      <c r="B151" s="9"/>
      <c r="C151" s="10"/>
      <c r="D151" s="108">
        <f>ROUND(D149+D150,2)</f>
        <v>1204.77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7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109" t="s">
        <v>200</v>
      </c>
      <c r="B153" s="109" t="s">
        <v>201</v>
      </c>
      <c r="C153" s="110" t="s">
        <v>202</v>
      </c>
      <c r="D153" s="111" t="s">
        <v>203</v>
      </c>
      <c r="E153" s="21"/>
      <c r="F153" s="7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0" customHeight="1">
      <c r="A154" s="112"/>
      <c r="B154" s="112"/>
      <c r="C154" s="113"/>
      <c r="D154" s="114" t="s">
        <v>204</v>
      </c>
      <c r="E154" s="21"/>
      <c r="F154" s="7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23.25" customHeight="1">
      <c r="A155" s="118" t="s">
        <v>219</v>
      </c>
      <c r="B155" s="119">
        <v>18.0</v>
      </c>
      <c r="C155" s="117">
        <v>0.0</v>
      </c>
      <c r="D155" s="117">
        <f>C155*B155</f>
        <v>0</v>
      </c>
      <c r="E155" s="21"/>
      <c r="F155" s="7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19"/>
      <c r="B156" s="21"/>
      <c r="C156" s="21"/>
      <c r="D156" s="21"/>
      <c r="E156" s="21"/>
      <c r="F156" s="7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ht="15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ht="15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ht="15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ht="15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ht="15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ht="15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ht="15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ht="15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ht="15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ht="15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ht="15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ht="15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ht="15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ht="15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ht="15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ht="15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ht="15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ht="15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ht="15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ht="15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ht="15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ht="15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ht="15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ht="15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ht="15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ht="15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ht="15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ht="15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ht="15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ht="15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ht="15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ht="15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ht="15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ht="15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ht="15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ht="15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ht="15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ht="15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ht="15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ht="15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ht="15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ht="15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ht="15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ht="15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ht="15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ht="15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ht="15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ht="15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ht="15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ht="15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ht="15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ht="15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ht="15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ht="15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ht="15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ht="15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ht="15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ht="15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ht="15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ht="15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ht="15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ht="15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ht="15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ht="15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ht="15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ht="15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ht="15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ht="15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ht="15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ht="15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ht="15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ht="15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ht="15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ht="15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ht="15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ht="15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ht="15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ht="15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ht="15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ht="15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ht="15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ht="15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ht="15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ht="15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ht="15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ht="15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ht="15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ht="15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ht="15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ht="15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ht="15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ht="15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ht="15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ht="15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ht="15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ht="15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ht="15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ht="15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ht="15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ht="15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ht="15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ht="15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ht="15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ht="15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ht="15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ht="15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ht="15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ht="15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ht="15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ht="15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ht="15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ht="15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ht="15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ht="15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ht="15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ht="15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ht="15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ht="15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ht="15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ht="15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ht="15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ht="15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ht="15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ht="15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ht="15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ht="15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ht="15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ht="15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ht="15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ht="15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ht="15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ht="15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ht="15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ht="15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ht="15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ht="15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ht="15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ht="15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ht="15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ht="15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ht="15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ht="15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ht="15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ht="15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ht="15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ht="15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ht="15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ht="15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ht="15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ht="15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ht="15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ht="15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ht="15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ht="15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ht="15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ht="15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ht="15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ht="15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ht="15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ht="15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ht="15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ht="15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ht="15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ht="15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ht="15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ht="15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ht="15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ht="15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ht="15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ht="15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ht="15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ht="15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ht="15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ht="15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ht="15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ht="15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ht="15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ht="15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ht="15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ht="15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ht="15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ht="15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ht="15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ht="15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ht="15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ht="15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ht="15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ht="15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ht="15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ht="15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ht="15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ht="15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ht="15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ht="15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ht="15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ht="15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ht="15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ht="15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ht="15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ht="15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ht="15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ht="15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ht="15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ht="15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ht="15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ht="15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ht="15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ht="15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ht="15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ht="15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ht="15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ht="15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ht="15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ht="15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ht="15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ht="15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ht="15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ht="15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ht="15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ht="15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ht="15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ht="15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ht="15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ht="15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ht="15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ht="15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ht="15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ht="15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ht="15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ht="15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ht="15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ht="15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ht="15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ht="15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ht="15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ht="15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ht="15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ht="15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ht="15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ht="15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ht="15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ht="15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ht="15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ht="15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ht="15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ht="15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ht="15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ht="15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ht="15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ht="15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ht="15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ht="15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ht="15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ht="15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ht="15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ht="15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ht="15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ht="15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ht="15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ht="15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ht="15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ht="15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ht="15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ht="15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ht="15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ht="15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ht="15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ht="15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ht="15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ht="15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ht="15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ht="15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ht="15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ht="15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ht="15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ht="15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ht="15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ht="15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ht="15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ht="15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ht="15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ht="15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ht="15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ht="15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ht="15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ht="15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ht="15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ht="15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ht="15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ht="15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ht="15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ht="15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ht="15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ht="15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ht="15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ht="15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ht="15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ht="15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ht="15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ht="15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ht="15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ht="15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ht="15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ht="15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ht="15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ht="15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ht="15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ht="15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ht="15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ht="15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ht="15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ht="15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ht="15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ht="15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ht="15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ht="15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ht="15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ht="15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ht="15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ht="15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ht="15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ht="15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ht="15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ht="15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ht="15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ht="15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ht="15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ht="15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ht="15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ht="15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ht="15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ht="15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ht="15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ht="15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ht="15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ht="15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ht="15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ht="15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ht="15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ht="15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ht="15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ht="15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ht="15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ht="15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ht="15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ht="15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ht="15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ht="15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ht="15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ht="15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ht="15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ht="15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ht="15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ht="15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ht="15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ht="15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ht="15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ht="15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ht="15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ht="15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ht="15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ht="15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ht="15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ht="15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ht="15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ht="15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ht="15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ht="15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ht="15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ht="15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ht="15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ht="15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ht="15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ht="15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ht="15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ht="15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ht="15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ht="15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ht="15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ht="15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ht="15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ht="15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ht="15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ht="15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ht="15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ht="15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ht="15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ht="15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ht="15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ht="15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ht="15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ht="15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ht="15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ht="15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ht="15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ht="15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ht="15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ht="15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ht="15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ht="15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ht="15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ht="15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ht="15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ht="15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ht="15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ht="15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ht="15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ht="15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ht="15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ht="15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ht="15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ht="15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ht="15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ht="15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ht="15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ht="15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ht="15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ht="15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ht="15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ht="15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ht="15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ht="15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ht="15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ht="15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ht="15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ht="15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ht="15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ht="15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ht="15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ht="15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ht="15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ht="15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ht="15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ht="15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ht="15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ht="15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ht="15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ht="15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ht="15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ht="15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ht="15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ht="15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ht="15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ht="15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ht="15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ht="15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ht="15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ht="15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ht="15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ht="15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ht="15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ht="15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ht="15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ht="15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ht="15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ht="15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ht="15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ht="15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ht="15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ht="15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ht="15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ht="15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ht="15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ht="15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ht="15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ht="15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ht="15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ht="15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ht="15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ht="15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ht="15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ht="15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ht="15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ht="15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ht="15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ht="15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ht="15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ht="15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ht="15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ht="15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ht="15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ht="15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ht="15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ht="15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ht="15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ht="15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ht="15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ht="15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ht="15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ht="15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ht="15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ht="15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ht="15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ht="15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ht="15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ht="15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ht="15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ht="15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ht="15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ht="15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ht="15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ht="15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ht="15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ht="15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ht="15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ht="15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ht="15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ht="15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ht="15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ht="15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ht="15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ht="15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ht="15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ht="15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ht="15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ht="15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ht="15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ht="15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ht="15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ht="15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ht="15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ht="15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ht="15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ht="15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ht="15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ht="15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ht="15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ht="15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ht="15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ht="15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ht="15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ht="15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ht="15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ht="15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ht="15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ht="15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ht="15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ht="15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ht="15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ht="15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ht="15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ht="15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ht="15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ht="15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ht="15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ht="15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ht="15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ht="15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ht="15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ht="15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ht="15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ht="15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ht="15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ht="15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ht="15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ht="15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ht="15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ht="15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ht="15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ht="15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ht="15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ht="15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ht="15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ht="15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ht="15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ht="15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ht="15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ht="15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ht="15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ht="15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ht="15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ht="15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ht="15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ht="15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ht="15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ht="15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ht="15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ht="15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ht="15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ht="15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ht="15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ht="15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ht="15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ht="15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ht="15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ht="15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ht="15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ht="15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ht="15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ht="15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ht="15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ht="15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ht="15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ht="15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ht="15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ht="15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ht="15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ht="15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ht="15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ht="15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ht="15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ht="15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ht="15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ht="15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ht="15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ht="15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ht="15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ht="15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ht="15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ht="15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ht="15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ht="15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ht="15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ht="15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ht="15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ht="15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ht="15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ht="15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ht="15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ht="15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ht="15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ht="15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ht="15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ht="15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ht="15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ht="15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ht="15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ht="15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ht="15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ht="15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ht="15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ht="15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ht="15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ht="15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ht="15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ht="15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ht="15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ht="15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ht="15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ht="15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ht="15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ht="15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ht="15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ht="15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ht="15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ht="15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ht="15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ht="15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ht="15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ht="15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ht="15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ht="15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ht="15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ht="15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ht="15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ht="15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ht="15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ht="15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ht="15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ht="15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ht="15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ht="15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ht="15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ht="15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ht="15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ht="15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ht="15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ht="15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ht="15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ht="15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ht="15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ht="15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ht="15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ht="15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ht="15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ht="15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ht="15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ht="15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ht="15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ht="15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ht="15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ht="15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ht="15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ht="15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ht="15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ht="15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ht="15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ht="15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ht="15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ht="15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ht="15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ht="15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ht="15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ht="15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ht="15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ht="15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ht="15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ht="15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ht="15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ht="15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ht="15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ht="15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ht="15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ht="15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ht="15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ht="15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ht="15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ht="15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ht="15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ht="15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ht="15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ht="15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ht="15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ht="15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ht="15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ht="15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ht="15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ht="15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ht="15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ht="15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ht="15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ht="15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ht="15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ht="15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ht="15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ht="15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ht="15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ht="15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ht="15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ht="15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ht="15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ht="15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ht="15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ht="15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ht="15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ht="15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ht="15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ht="15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ht="15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ht="15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ht="15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ht="15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ht="15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ht="15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ht="15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ht="15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ht="15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ht="15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ht="15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ht="15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ht="15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ht="15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ht="15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ht="15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ht="15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ht="15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ht="15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ht="15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ht="15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ht="15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ht="15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ht="15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ht="15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ht="15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ht="15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ht="15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ht="15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ht="15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ht="15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ht="15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ht="15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ht="15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ht="15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ht="15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ht="15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ht="15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ht="15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ht="15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72">
    <mergeCell ref="A121:D121"/>
    <mergeCell ref="A122:D122"/>
    <mergeCell ref="A126:D126"/>
    <mergeCell ref="A127:D127"/>
    <mergeCell ref="A131:D131"/>
    <mergeCell ref="A132:D132"/>
    <mergeCell ref="A138:D138"/>
    <mergeCell ref="A139:B139"/>
    <mergeCell ref="A140:D140"/>
    <mergeCell ref="A141:B141"/>
    <mergeCell ref="A142:D142"/>
    <mergeCell ref="A143:D143"/>
    <mergeCell ref="A144:C144"/>
    <mergeCell ref="A145:C145"/>
    <mergeCell ref="B153:B154"/>
    <mergeCell ref="C153:C154"/>
    <mergeCell ref="A146:C146"/>
    <mergeCell ref="A147:C147"/>
    <mergeCell ref="A148:C148"/>
    <mergeCell ref="A149:C149"/>
    <mergeCell ref="A150:C150"/>
    <mergeCell ref="A151:C151"/>
    <mergeCell ref="A153:A154"/>
    <mergeCell ref="A1:D1"/>
    <mergeCell ref="A3:D3"/>
    <mergeCell ref="A5:D5"/>
    <mergeCell ref="B6:D6"/>
    <mergeCell ref="B7:C7"/>
    <mergeCell ref="B8:D8"/>
    <mergeCell ref="A9:D9"/>
    <mergeCell ref="A10:D10"/>
    <mergeCell ref="A11:D11"/>
    <mergeCell ref="A12:D12"/>
    <mergeCell ref="A13:C13"/>
    <mergeCell ref="A14:C14"/>
    <mergeCell ref="A15:C15"/>
    <mergeCell ref="A16:C16"/>
    <mergeCell ref="A17:C17"/>
    <mergeCell ref="A18:D19"/>
    <mergeCell ref="A20:C20"/>
    <mergeCell ref="B21:D21"/>
    <mergeCell ref="A22:D22"/>
    <mergeCell ref="A30:D30"/>
    <mergeCell ref="A31:D31"/>
    <mergeCell ref="A32:D32"/>
    <mergeCell ref="A43:D43"/>
    <mergeCell ref="A44:D44"/>
    <mergeCell ref="A51:D51"/>
    <mergeCell ref="A52:D52"/>
    <mergeCell ref="A53:D53"/>
    <mergeCell ref="A54:C54"/>
    <mergeCell ref="A55:D55"/>
    <mergeCell ref="A66:D66"/>
    <mergeCell ref="A67:D67"/>
    <mergeCell ref="A73:D73"/>
    <mergeCell ref="A74:D74"/>
    <mergeCell ref="A79:D79"/>
    <mergeCell ref="A80:D80"/>
    <mergeCell ref="A91:D91"/>
    <mergeCell ref="A92:D92"/>
    <mergeCell ref="A103:D103"/>
    <mergeCell ref="A104:D104"/>
    <mergeCell ref="A112:D112"/>
    <mergeCell ref="B113:C113"/>
    <mergeCell ref="A114:D114"/>
    <mergeCell ref="A115:D115"/>
    <mergeCell ref="A116:D116"/>
    <mergeCell ref="A117:C117"/>
    <mergeCell ref="D117:D120"/>
    <mergeCell ref="A118:C118"/>
    <mergeCell ref="A119:C119"/>
    <mergeCell ref="A120:C120"/>
  </mergeCells>
  <dataValidations>
    <dataValidation type="list" allowBlank="1" showErrorMessage="1" sqref="D54">
      <formula1>$H$57</formula1>
    </dataValidation>
  </dataValidations>
  <printOptions horizontalCentered="1"/>
  <pageMargins bottom="0.7874015748031497" footer="0.0" header="0.0" left="0.7874015748031497" right="0.7874015748031497" top="1.968503937007874"/>
  <pageSetup fitToHeight="0" orientation="portrait"/>
  <headerFooter>
    <oddFooter>&amp;CRua Omilio Monteiro Soares, 997, Fanny - CEP 81030-000 - Curitiba . Paraná - Fone/Fax: 55 (41) 3027-7575 www.viaservicosintegrados.com.br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59.14"/>
    <col customWidth="1" min="2" max="2" width="16.57"/>
    <col customWidth="1" min="3" max="3" width="19.29"/>
    <col customWidth="1" min="4" max="4" width="42.0"/>
    <col customWidth="1" min="5" max="5" width="16.29"/>
    <col customWidth="1" min="6" max="6" width="17.14"/>
    <col customWidth="1" min="7" max="7" width="16.71"/>
    <col customWidth="1" min="8" max="8" width="8.0"/>
  </cols>
  <sheetData>
    <row r="1">
      <c r="A1" s="19" t="s">
        <v>28</v>
      </c>
      <c r="E1" s="20"/>
      <c r="F1" s="20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>
      <c r="A2" s="22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>
      <c r="A3" s="19" t="s">
        <v>29</v>
      </c>
      <c r="E3" s="20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>
      <c r="A4" s="1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>
      <c r="A5" s="23" t="s">
        <v>30</v>
      </c>
      <c r="B5" s="9"/>
      <c r="C5" s="9"/>
      <c r="D5" s="1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>
      <c r="A6" s="24" t="s">
        <v>31</v>
      </c>
      <c r="B6" s="25"/>
      <c r="C6" s="9"/>
      <c r="D6" s="1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>
      <c r="A7" s="24" t="s">
        <v>32</v>
      </c>
      <c r="B7" s="26" t="s">
        <v>33</v>
      </c>
      <c r="C7" s="10"/>
      <c r="D7" s="27" t="s">
        <v>34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>
      <c r="A8" s="24" t="s">
        <v>35</v>
      </c>
      <c r="B8" s="28" t="s">
        <v>11</v>
      </c>
      <c r="C8" s="9"/>
      <c r="D8" s="1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>
      <c r="A9" s="26"/>
      <c r="B9" s="9"/>
      <c r="C9" s="9"/>
      <c r="D9" s="1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>
      <c r="A10" s="28" t="s">
        <v>220</v>
      </c>
      <c r="B10" s="9"/>
      <c r="C10" s="9"/>
      <c r="D10" s="1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>
      <c r="A11" s="28"/>
      <c r="B11" s="9"/>
      <c r="C11" s="9"/>
      <c r="D11" s="1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>
      <c r="A12" s="26" t="s">
        <v>37</v>
      </c>
      <c r="B12" s="9"/>
      <c r="C12" s="9"/>
      <c r="D12" s="1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>
      <c r="A13" s="29" t="s">
        <v>38</v>
      </c>
      <c r="B13" s="9"/>
      <c r="C13" s="10"/>
      <c r="D13" s="30" t="s">
        <v>207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>
      <c r="A14" s="29" t="s">
        <v>40</v>
      </c>
      <c r="B14" s="9"/>
      <c r="C14" s="10"/>
      <c r="D14" s="30" t="s">
        <v>41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>
      <c r="A15" s="29" t="s">
        <v>42</v>
      </c>
      <c r="B15" s="9"/>
      <c r="C15" s="10"/>
      <c r="D15" s="30">
        <v>24.0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>
      <c r="A16" s="29" t="s">
        <v>43</v>
      </c>
      <c r="B16" s="9"/>
      <c r="C16" s="10"/>
      <c r="D16" s="30" t="str">
        <f>D13</f>
        <v>VIGIA NOTURNO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>
      <c r="A17" s="29" t="s">
        <v>44</v>
      </c>
      <c r="B17" s="9"/>
      <c r="C17" s="10"/>
      <c r="D17" s="31">
        <v>46054.0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>
      <c r="A18" s="32"/>
      <c r="B18" s="33"/>
      <c r="C18" s="33"/>
      <c r="D18" s="3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>
      <c r="A19" s="35"/>
      <c r="B19" s="36"/>
      <c r="C19" s="36"/>
      <c r="D19" s="37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>
      <c r="A20" s="38" t="s">
        <v>45</v>
      </c>
      <c r="B20" s="9"/>
      <c r="C20" s="10"/>
      <c r="D20" s="120">
        <v>1.0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5.75" customHeight="1">
      <c r="A21" s="40" t="s">
        <v>46</v>
      </c>
      <c r="B21" s="121" t="s">
        <v>221</v>
      </c>
      <c r="C21" s="9"/>
      <c r="D21" s="1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5.75" customHeight="1">
      <c r="A22" s="42"/>
      <c r="B22" s="9"/>
      <c r="C22" s="9"/>
      <c r="D22" s="1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5.75" customHeight="1">
      <c r="A23" s="43" t="s">
        <v>48</v>
      </c>
      <c r="B23" s="44" t="s">
        <v>49</v>
      </c>
      <c r="C23" s="44" t="s">
        <v>50</v>
      </c>
      <c r="D23" s="45" t="s">
        <v>51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5.75" customHeight="1">
      <c r="A24" s="46" t="s">
        <v>52</v>
      </c>
      <c r="B24" s="47"/>
      <c r="C24" s="39">
        <v>0.0</v>
      </c>
      <c r="D24" s="48" t="s">
        <v>53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5.75" customHeight="1">
      <c r="A25" s="46" t="s">
        <v>208</v>
      </c>
      <c r="B25" s="49"/>
      <c r="C25" s="39">
        <f>(1412*B25)</f>
        <v>0</v>
      </c>
      <c r="D25" s="48" t="s">
        <v>55</v>
      </c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5.75" customHeight="1">
      <c r="A26" s="46" t="s">
        <v>209</v>
      </c>
      <c r="B26" s="49"/>
      <c r="C26" s="39">
        <v>0.0</v>
      </c>
      <c r="D26" s="5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5.75" customHeight="1">
      <c r="A27" s="46" t="s">
        <v>57</v>
      </c>
      <c r="B27" s="47"/>
      <c r="C27" s="39">
        <v>0.0</v>
      </c>
      <c r="D27" s="48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5.75" customHeight="1">
      <c r="A28" s="24" t="s">
        <v>58</v>
      </c>
      <c r="B28" s="46"/>
      <c r="C28" s="39">
        <f>SUM(C24:C27)</f>
        <v>0</v>
      </c>
      <c r="D28" s="48" t="s">
        <v>59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5.75" customHeight="1">
      <c r="A29" s="24" t="s">
        <v>60</v>
      </c>
      <c r="B29" s="46"/>
      <c r="C29" s="51">
        <f>C28</f>
        <v>0</v>
      </c>
      <c r="D29" s="48" t="s">
        <v>61</v>
      </c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15.75" customHeight="1">
      <c r="A30" s="32"/>
      <c r="B30" s="33"/>
      <c r="C30" s="33"/>
      <c r="D30" s="34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15.75" customHeight="1">
      <c r="A31" s="52" t="s">
        <v>62</v>
      </c>
      <c r="B31" s="33"/>
      <c r="C31" s="33"/>
      <c r="D31" s="34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15.75" customHeight="1">
      <c r="A32" s="53" t="s">
        <v>63</v>
      </c>
      <c r="B32" s="36"/>
      <c r="C32" s="36"/>
      <c r="D32" s="37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42.75" customHeight="1">
      <c r="A33" s="54" t="s">
        <v>64</v>
      </c>
      <c r="B33" s="30" t="s">
        <v>65</v>
      </c>
      <c r="C33" s="30" t="s">
        <v>50</v>
      </c>
      <c r="D33" s="27" t="s">
        <v>66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42.75" customHeight="1">
      <c r="A34" s="46" t="s">
        <v>67</v>
      </c>
      <c r="B34" s="55" t="str">
        <f t="shared" ref="B34:B41" si="1">C34/$C$29</f>
        <v>#DIV/0!</v>
      </c>
      <c r="C34" s="56">
        <f>(6*15.5*2)-(C24*6%)</f>
        <v>186</v>
      </c>
      <c r="D34" s="50" t="s">
        <v>210</v>
      </c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15.75" customHeight="1">
      <c r="A35" s="48" t="s">
        <v>69</v>
      </c>
      <c r="B35" s="55" t="str">
        <f t="shared" si="1"/>
        <v>#DIV/0!</v>
      </c>
      <c r="C35" s="58">
        <f>805*0.8</f>
        <v>644</v>
      </c>
      <c r="D35" s="48" t="s">
        <v>222</v>
      </c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15.75" customHeight="1">
      <c r="A36" s="46" t="s">
        <v>71</v>
      </c>
      <c r="B36" s="55" t="str">
        <f t="shared" si="1"/>
        <v>#DIV/0!</v>
      </c>
      <c r="C36" s="56">
        <v>0.0</v>
      </c>
      <c r="D36" s="4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15.75" customHeight="1">
      <c r="A37" s="46" t="s">
        <v>72</v>
      </c>
      <c r="B37" s="55" t="str">
        <f t="shared" si="1"/>
        <v>#DIV/0!</v>
      </c>
      <c r="C37" s="56">
        <v>0.0</v>
      </c>
      <c r="D37" s="48" t="s">
        <v>223</v>
      </c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15.75" customHeight="1">
      <c r="A38" s="46" t="s">
        <v>74</v>
      </c>
      <c r="B38" s="55" t="str">
        <f t="shared" si="1"/>
        <v>#DIV/0!</v>
      </c>
      <c r="C38" s="56">
        <v>0.0</v>
      </c>
      <c r="D38" s="48" t="s">
        <v>224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15.75" customHeight="1">
      <c r="A39" s="46" t="s">
        <v>76</v>
      </c>
      <c r="B39" s="55" t="str">
        <f t="shared" si="1"/>
        <v>#DIV/0!</v>
      </c>
      <c r="C39" s="56">
        <v>0.0</v>
      </c>
      <c r="D39" s="4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5.75" customHeight="1">
      <c r="A40" s="46" t="s">
        <v>77</v>
      </c>
      <c r="B40" s="55" t="str">
        <f t="shared" si="1"/>
        <v>#DIV/0!</v>
      </c>
      <c r="C40" s="56">
        <v>0.0</v>
      </c>
      <c r="D40" s="48" t="s">
        <v>225</v>
      </c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15.75" customHeight="1">
      <c r="A41" s="46" t="s">
        <v>79</v>
      </c>
      <c r="B41" s="55" t="str">
        <f t="shared" si="1"/>
        <v>#DIV/0!</v>
      </c>
      <c r="C41" s="56">
        <f>C35/12</f>
        <v>53.66666667</v>
      </c>
      <c r="D41" s="4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15.75" customHeight="1">
      <c r="A42" s="24" t="s">
        <v>80</v>
      </c>
      <c r="B42" s="55" t="str">
        <f t="shared" ref="B42:C42" si="2">SUM(B34:B41)</f>
        <v>#DIV/0!</v>
      </c>
      <c r="C42" s="59">
        <f t="shared" si="2"/>
        <v>883.6666667</v>
      </c>
      <c r="D42" s="48" t="s">
        <v>81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5.75" customHeight="1">
      <c r="A43" s="42"/>
      <c r="B43" s="9"/>
      <c r="C43" s="9"/>
      <c r="D43" s="1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15.75" customHeight="1">
      <c r="A44" s="60" t="s">
        <v>82</v>
      </c>
      <c r="B44" s="9"/>
      <c r="C44" s="9"/>
      <c r="D44" s="1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38.25" customHeight="1">
      <c r="A45" s="54" t="s">
        <v>64</v>
      </c>
      <c r="B45" s="30" t="s">
        <v>65</v>
      </c>
      <c r="C45" s="30" t="s">
        <v>50</v>
      </c>
      <c r="D45" s="27" t="s">
        <v>66</v>
      </c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>
      <c r="A46" s="46" t="s">
        <v>83</v>
      </c>
      <c r="B46" s="55" t="str">
        <f>C46/$C$29</f>
        <v>#DIV/0!</v>
      </c>
      <c r="C46" s="39">
        <v>0.0</v>
      </c>
      <c r="D46" s="50" t="s">
        <v>84</v>
      </c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15.75" customHeight="1">
      <c r="A47" s="46" t="s">
        <v>85</v>
      </c>
      <c r="B47" s="49"/>
      <c r="C47" s="39">
        <f>C29*B47</f>
        <v>0</v>
      </c>
      <c r="D47" s="4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15.75" customHeight="1">
      <c r="A48" s="46" t="s">
        <v>86</v>
      </c>
      <c r="B48" s="49"/>
      <c r="C48" s="39">
        <f>C29*B48</f>
        <v>0</v>
      </c>
      <c r="D48" s="4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15.75" customHeight="1">
      <c r="A49" s="46" t="s">
        <v>87</v>
      </c>
      <c r="B49" s="46"/>
      <c r="C49" s="39"/>
      <c r="D49" s="46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15.75" customHeight="1">
      <c r="A50" s="24" t="s">
        <v>88</v>
      </c>
      <c r="B50" s="55" t="str">
        <f t="shared" ref="B50:C50" si="3">SUM(B46:B49)</f>
        <v>#DIV/0!</v>
      </c>
      <c r="C50" s="61">
        <f t="shared" si="3"/>
        <v>0</v>
      </c>
      <c r="D50" s="46" t="s">
        <v>89</v>
      </c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15.75" customHeight="1">
      <c r="A51" s="32"/>
      <c r="B51" s="33"/>
      <c r="C51" s="33"/>
      <c r="D51" s="34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15.75" customHeight="1">
      <c r="A52" s="52" t="s">
        <v>90</v>
      </c>
      <c r="B52" s="33"/>
      <c r="C52" s="33"/>
      <c r="D52" s="34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15.75" customHeight="1">
      <c r="A53" s="62" t="s">
        <v>91</v>
      </c>
      <c r="D53" s="6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15.75" customHeight="1">
      <c r="A54" s="64" t="s">
        <v>226</v>
      </c>
      <c r="B54" s="65"/>
      <c r="C54" s="66"/>
      <c r="D54" s="67" t="s">
        <v>93</v>
      </c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15.75" customHeight="1">
      <c r="A55" s="60" t="s">
        <v>94</v>
      </c>
      <c r="B55" s="9"/>
      <c r="C55" s="9"/>
      <c r="D55" s="1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15.75" customHeight="1">
      <c r="A56" s="54" t="s">
        <v>95</v>
      </c>
      <c r="B56" s="30" t="s">
        <v>49</v>
      </c>
      <c r="C56" s="30" t="s">
        <v>50</v>
      </c>
      <c r="D56" s="27" t="s">
        <v>66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48.0" customHeight="1">
      <c r="A57" s="46" t="s">
        <v>96</v>
      </c>
      <c r="B57" s="49">
        <v>0.2</v>
      </c>
      <c r="C57" s="69">
        <f t="shared" ref="C57:C64" si="4">B57*$C$29</f>
        <v>0</v>
      </c>
      <c r="D57" s="50" t="s">
        <v>97</v>
      </c>
      <c r="E57" s="21"/>
      <c r="F57" s="21"/>
      <c r="G57" s="7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48.0" customHeight="1">
      <c r="A58" s="46" t="s">
        <v>98</v>
      </c>
      <c r="B58" s="49">
        <v>0.015</v>
      </c>
      <c r="C58" s="69">
        <f t="shared" si="4"/>
        <v>0</v>
      </c>
      <c r="D58" s="50" t="s">
        <v>99</v>
      </c>
      <c r="E58" s="21"/>
      <c r="F58" s="21"/>
      <c r="G58" s="7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48.0" customHeight="1">
      <c r="A59" s="72" t="s">
        <v>100</v>
      </c>
      <c r="B59" s="73">
        <v>0.002</v>
      </c>
      <c r="C59" s="74">
        <f t="shared" si="4"/>
        <v>0</v>
      </c>
      <c r="D59" s="79" t="s">
        <v>101</v>
      </c>
      <c r="E59" s="21"/>
      <c r="F59" s="21"/>
      <c r="G59" s="7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48.0" customHeight="1">
      <c r="A60" s="72" t="s">
        <v>102</v>
      </c>
      <c r="B60" s="73">
        <v>0.01</v>
      </c>
      <c r="C60" s="74">
        <f t="shared" si="4"/>
        <v>0</v>
      </c>
      <c r="D60" s="79" t="s">
        <v>103</v>
      </c>
      <c r="E60" s="21"/>
      <c r="F60" s="21"/>
      <c r="G60" s="7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48.0" customHeight="1">
      <c r="A61" s="72" t="s">
        <v>104</v>
      </c>
      <c r="B61" s="73">
        <v>0.025</v>
      </c>
      <c r="C61" s="74">
        <f t="shared" si="4"/>
        <v>0</v>
      </c>
      <c r="D61" s="79" t="s">
        <v>105</v>
      </c>
      <c r="E61" s="21"/>
      <c r="F61" s="21"/>
      <c r="G61" s="7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48.0" customHeight="1">
      <c r="A62" s="72" t="s">
        <v>106</v>
      </c>
      <c r="B62" s="73">
        <v>0.03</v>
      </c>
      <c r="C62" s="74">
        <f t="shared" si="4"/>
        <v>0</v>
      </c>
      <c r="D62" s="79" t="s">
        <v>107</v>
      </c>
      <c r="E62" s="21"/>
      <c r="F62" s="21"/>
      <c r="G62" s="7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48.0" customHeight="1">
      <c r="A63" s="72" t="s">
        <v>108</v>
      </c>
      <c r="B63" s="73">
        <v>0.08</v>
      </c>
      <c r="C63" s="74">
        <f t="shared" si="4"/>
        <v>0</v>
      </c>
      <c r="D63" s="79" t="s">
        <v>109</v>
      </c>
      <c r="E63" s="21"/>
      <c r="F63" s="21"/>
      <c r="G63" s="7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48.0" customHeight="1">
      <c r="A64" s="72" t="s">
        <v>110</v>
      </c>
      <c r="B64" s="73">
        <v>0.006</v>
      </c>
      <c r="C64" s="74">
        <f t="shared" si="4"/>
        <v>0</v>
      </c>
      <c r="D64" s="79" t="s">
        <v>111</v>
      </c>
      <c r="E64" s="21"/>
      <c r="F64" s="21"/>
      <c r="G64" s="7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37.5" customHeight="1">
      <c r="A65" s="76" t="s">
        <v>112</v>
      </c>
      <c r="B65" s="77">
        <f t="shared" ref="B65:C65" si="5">SUM(B57:B64)</f>
        <v>0.368</v>
      </c>
      <c r="C65" s="78">
        <f t="shared" si="5"/>
        <v>0</v>
      </c>
      <c r="D65" s="79" t="s">
        <v>113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37.5" customHeight="1">
      <c r="A66" s="80"/>
      <c r="B66" s="9"/>
      <c r="C66" s="9"/>
      <c r="D66" s="1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15.75" customHeight="1">
      <c r="A67" s="81" t="s">
        <v>114</v>
      </c>
      <c r="B67" s="9"/>
      <c r="C67" s="9"/>
      <c r="D67" s="1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15.75" customHeight="1">
      <c r="A68" s="54" t="s">
        <v>95</v>
      </c>
      <c r="B68" s="44" t="s">
        <v>49</v>
      </c>
      <c r="C68" s="44" t="s">
        <v>50</v>
      </c>
      <c r="D68" s="45" t="s">
        <v>66</v>
      </c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15.75" customHeight="1">
      <c r="A69" s="72" t="s">
        <v>115</v>
      </c>
      <c r="B69" s="82">
        <v>0.0833</v>
      </c>
      <c r="C69" s="74">
        <f t="shared" ref="C69:C71" si="6">B69*$C$29</f>
        <v>0</v>
      </c>
      <c r="D69" s="72"/>
      <c r="E69" s="21"/>
      <c r="F69" s="21"/>
      <c r="G69" s="7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15.75" customHeight="1">
      <c r="A70" s="76" t="s">
        <v>116</v>
      </c>
      <c r="B70" s="83">
        <v>0.0833</v>
      </c>
      <c r="C70" s="78">
        <f t="shared" si="6"/>
        <v>0</v>
      </c>
      <c r="D70" s="72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15.75" customHeight="1">
      <c r="A71" s="72" t="s">
        <v>117</v>
      </c>
      <c r="B71" s="82">
        <f>B70*B65</f>
        <v>0.0306544</v>
      </c>
      <c r="C71" s="74">
        <f t="shared" si="6"/>
        <v>0</v>
      </c>
      <c r="D71" s="72"/>
      <c r="E71" s="21"/>
      <c r="F71" s="21"/>
      <c r="G71" s="7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15.75" customHeight="1">
      <c r="A72" s="76" t="s">
        <v>118</v>
      </c>
      <c r="B72" s="77">
        <f t="shared" ref="B72:C72" si="7">B70+B71</f>
        <v>0.1139544</v>
      </c>
      <c r="C72" s="78">
        <f t="shared" si="7"/>
        <v>0</v>
      </c>
      <c r="D72" s="72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15.75" customHeight="1">
      <c r="A73" s="80"/>
      <c r="B73" s="9"/>
      <c r="C73" s="9"/>
      <c r="D73" s="1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15.75" customHeight="1">
      <c r="A74" s="81" t="s">
        <v>119</v>
      </c>
      <c r="B74" s="9"/>
      <c r="C74" s="9"/>
      <c r="D74" s="1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34.5" customHeight="1">
      <c r="A75" s="54" t="s">
        <v>95</v>
      </c>
      <c r="B75" s="44" t="s">
        <v>49</v>
      </c>
      <c r="C75" s="44" t="s">
        <v>50</v>
      </c>
      <c r="D75" s="45" t="s">
        <v>66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15.75" customHeight="1">
      <c r="A76" s="72" t="s">
        <v>120</v>
      </c>
      <c r="B76" s="73">
        <v>0.0015</v>
      </c>
      <c r="C76" s="74">
        <f t="shared" ref="C76:C77" si="8">B76*$C$29</f>
        <v>0</v>
      </c>
      <c r="D76" s="72" t="s">
        <v>121</v>
      </c>
      <c r="E76" s="21"/>
      <c r="F76" s="21"/>
      <c r="G76" s="7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15.75" customHeight="1">
      <c r="A77" s="72" t="s">
        <v>122</v>
      </c>
      <c r="B77" s="73">
        <f>B76*B65</f>
        <v>0.000552</v>
      </c>
      <c r="C77" s="74">
        <f t="shared" si="8"/>
        <v>0</v>
      </c>
      <c r="D77" s="72" t="s">
        <v>123</v>
      </c>
      <c r="E77" s="21"/>
      <c r="F77" s="21"/>
      <c r="G77" s="7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15.75" customHeight="1">
      <c r="A78" s="76" t="s">
        <v>124</v>
      </c>
      <c r="B78" s="77">
        <f t="shared" ref="B78:C78" si="9">SUM(B76:B77)</f>
        <v>0.002052</v>
      </c>
      <c r="C78" s="78">
        <f t="shared" si="9"/>
        <v>0</v>
      </c>
      <c r="D78" s="72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15.75" customHeight="1">
      <c r="A79" s="80"/>
      <c r="B79" s="9"/>
      <c r="C79" s="9"/>
      <c r="D79" s="1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15.75" customHeight="1">
      <c r="A80" s="81" t="s">
        <v>125</v>
      </c>
      <c r="B80" s="9"/>
      <c r="C80" s="9"/>
      <c r="D80" s="1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32.25" customHeight="1">
      <c r="A81" s="54" t="s">
        <v>95</v>
      </c>
      <c r="B81" s="44" t="s">
        <v>49</v>
      </c>
      <c r="C81" s="44" t="s">
        <v>50</v>
      </c>
      <c r="D81" s="45" t="s">
        <v>66</v>
      </c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32.25" customHeight="1">
      <c r="A82" s="72" t="s">
        <v>126</v>
      </c>
      <c r="B82" s="73">
        <v>0.0194</v>
      </c>
      <c r="C82" s="74">
        <f t="shared" ref="C82:C89" si="10">B82*$C$29</f>
        <v>0</v>
      </c>
      <c r="D82" s="84" t="s">
        <v>127</v>
      </c>
      <c r="E82" s="21"/>
      <c r="F82" s="21"/>
      <c r="G82" s="7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48.0" customHeight="1">
      <c r="A83" s="72" t="s">
        <v>128</v>
      </c>
      <c r="B83" s="73">
        <f>B82*8%</f>
        <v>0.001552</v>
      </c>
      <c r="C83" s="85">
        <f t="shared" si="10"/>
        <v>0</v>
      </c>
      <c r="D83" s="79" t="s">
        <v>129</v>
      </c>
      <c r="E83" s="21"/>
      <c r="F83" s="21"/>
      <c r="G83" s="7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32.25" customHeight="1">
      <c r="A84" s="72" t="s">
        <v>130</v>
      </c>
      <c r="B84" s="82">
        <f>B83*50%</f>
        <v>0.000776</v>
      </c>
      <c r="C84" s="74">
        <f t="shared" si="10"/>
        <v>0</v>
      </c>
      <c r="D84" s="79" t="s">
        <v>123</v>
      </c>
      <c r="E84" s="21"/>
      <c r="F84" s="21"/>
      <c r="G84" s="7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32.25" customHeight="1">
      <c r="A85" s="72" t="s">
        <v>131</v>
      </c>
      <c r="B85" s="73">
        <v>0.0054</v>
      </c>
      <c r="C85" s="74">
        <f t="shared" si="10"/>
        <v>0</v>
      </c>
      <c r="D85" s="79" t="s">
        <v>132</v>
      </c>
      <c r="E85" s="21"/>
      <c r="F85" s="21"/>
      <c r="G85" s="7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32.25" customHeight="1">
      <c r="A86" s="72" t="s">
        <v>133</v>
      </c>
      <c r="B86" s="73">
        <v>1.0E-4</v>
      </c>
      <c r="C86" s="74">
        <f t="shared" si="10"/>
        <v>0</v>
      </c>
      <c r="D86" s="79" t="s">
        <v>134</v>
      </c>
      <c r="E86" s="21"/>
      <c r="F86" s="21"/>
      <c r="G86" s="7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32.25" customHeight="1">
      <c r="A87" s="72" t="s">
        <v>135</v>
      </c>
      <c r="B87" s="73">
        <f>((B85+B86))*B65</f>
        <v>0.002024</v>
      </c>
      <c r="C87" s="74">
        <f t="shared" si="10"/>
        <v>0</v>
      </c>
      <c r="D87" s="79" t="s">
        <v>123</v>
      </c>
      <c r="E87" s="21"/>
      <c r="F87" s="21"/>
      <c r="G87" s="7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51.0" customHeight="1">
      <c r="A88" s="72" t="s">
        <v>136</v>
      </c>
      <c r="B88" s="73">
        <v>0.04</v>
      </c>
      <c r="C88" s="74">
        <f t="shared" si="10"/>
        <v>0</v>
      </c>
      <c r="D88" s="79" t="s">
        <v>137</v>
      </c>
      <c r="E88" s="21"/>
      <c r="F88" s="21"/>
      <c r="G88" s="7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32.25" customHeight="1">
      <c r="A89" s="72" t="s">
        <v>138</v>
      </c>
      <c r="B89" s="73">
        <v>3.0E-4</v>
      </c>
      <c r="C89" s="74">
        <f t="shared" si="10"/>
        <v>0</v>
      </c>
      <c r="D89" s="79" t="s">
        <v>139</v>
      </c>
      <c r="E89" s="21"/>
      <c r="F89" s="21"/>
      <c r="G89" s="7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15.75" customHeight="1">
      <c r="A90" s="76" t="s">
        <v>140</v>
      </c>
      <c r="B90" s="77">
        <f t="shared" ref="B90:C90" si="11">SUM(B82:B89)</f>
        <v>0.069552</v>
      </c>
      <c r="C90" s="78">
        <f t="shared" si="11"/>
        <v>0</v>
      </c>
      <c r="D90" s="72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15.75" customHeight="1">
      <c r="A91" s="80"/>
      <c r="B91" s="9"/>
      <c r="C91" s="9"/>
      <c r="D91" s="1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15.75" customHeight="1">
      <c r="A92" s="81" t="s">
        <v>141</v>
      </c>
      <c r="B92" s="9"/>
      <c r="C92" s="9"/>
      <c r="D92" s="1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33.75" customHeight="1">
      <c r="A93" s="54" t="s">
        <v>95</v>
      </c>
      <c r="B93" s="44" t="s">
        <v>49</v>
      </c>
      <c r="C93" s="44" t="s">
        <v>50</v>
      </c>
      <c r="D93" s="45" t="s">
        <v>66</v>
      </c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15.75" customHeight="1">
      <c r="A94" s="72" t="s">
        <v>142</v>
      </c>
      <c r="B94" s="77">
        <v>0.1111</v>
      </c>
      <c r="C94" s="74">
        <f t="shared" ref="C94:C101" si="12">B94*$C$29</f>
        <v>0</v>
      </c>
      <c r="D94" s="84" t="s">
        <v>143</v>
      </c>
      <c r="E94" s="21"/>
      <c r="F94" s="21"/>
      <c r="G94" s="7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15.75" customHeight="1">
      <c r="A95" s="72" t="s">
        <v>144</v>
      </c>
      <c r="B95" s="77">
        <v>0.0045</v>
      </c>
      <c r="C95" s="74">
        <f t="shared" si="12"/>
        <v>0</v>
      </c>
      <c r="D95" s="84" t="s">
        <v>145</v>
      </c>
      <c r="E95" s="21"/>
      <c r="F95" s="21"/>
      <c r="G95" s="7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15.75" customHeight="1">
      <c r="A96" s="72" t="s">
        <v>146</v>
      </c>
      <c r="B96" s="77">
        <v>0.0063</v>
      </c>
      <c r="C96" s="74">
        <f t="shared" si="12"/>
        <v>0</v>
      </c>
      <c r="D96" s="84" t="s">
        <v>147</v>
      </c>
      <c r="E96" s="21"/>
      <c r="F96" s="21"/>
      <c r="G96" s="7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15.75" customHeight="1">
      <c r="A97" s="72" t="s">
        <v>148</v>
      </c>
      <c r="B97" s="77">
        <v>0.0021</v>
      </c>
      <c r="C97" s="74">
        <f t="shared" si="12"/>
        <v>0</v>
      </c>
      <c r="D97" s="84"/>
      <c r="E97" s="21"/>
      <c r="F97" s="21"/>
      <c r="G97" s="7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15.75" customHeight="1">
      <c r="A98" s="72" t="s">
        <v>149</v>
      </c>
      <c r="B98" s="77">
        <v>0.0032</v>
      </c>
      <c r="C98" s="74">
        <f t="shared" si="12"/>
        <v>0</v>
      </c>
      <c r="D98" s="84" t="s">
        <v>150</v>
      </c>
      <c r="E98" s="21"/>
      <c r="F98" s="21"/>
      <c r="G98" s="7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15.75" customHeight="1">
      <c r="A99" s="72" t="s">
        <v>151</v>
      </c>
      <c r="B99" s="86">
        <v>0.0</v>
      </c>
      <c r="C99" s="74">
        <f t="shared" si="12"/>
        <v>0</v>
      </c>
      <c r="D99" s="7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15.75" customHeight="1">
      <c r="A100" s="76" t="s">
        <v>152</v>
      </c>
      <c r="B100" s="77">
        <f>SUM(B94:B99)</f>
        <v>0.1272</v>
      </c>
      <c r="C100" s="74">
        <f t="shared" si="12"/>
        <v>0</v>
      </c>
      <c r="D100" s="7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15.75" customHeight="1">
      <c r="A101" s="72" t="s">
        <v>153</v>
      </c>
      <c r="B101" s="77">
        <f>B100*B65</f>
        <v>0.0468096</v>
      </c>
      <c r="C101" s="74">
        <f t="shared" si="12"/>
        <v>0</v>
      </c>
      <c r="D101" s="72"/>
      <c r="E101" s="21"/>
      <c r="F101" s="21"/>
      <c r="G101" s="7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15.75" customHeight="1">
      <c r="A102" s="76" t="s">
        <v>154</v>
      </c>
      <c r="B102" s="77">
        <f t="shared" ref="B102:C102" si="13">B100+B101</f>
        <v>0.1740096</v>
      </c>
      <c r="C102" s="78">
        <f t="shared" si="13"/>
        <v>0</v>
      </c>
      <c r="D102" s="7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15.75" customHeight="1">
      <c r="A103" s="80"/>
      <c r="B103" s="9"/>
      <c r="C103" s="9"/>
      <c r="D103" s="1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15.75" customHeight="1">
      <c r="A104" s="81" t="s">
        <v>155</v>
      </c>
      <c r="B104" s="9"/>
      <c r="C104" s="9"/>
      <c r="D104" s="1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29.25" customHeight="1">
      <c r="A105" s="43" t="s">
        <v>156</v>
      </c>
      <c r="B105" s="44" t="s">
        <v>49</v>
      </c>
      <c r="C105" s="44" t="s">
        <v>50</v>
      </c>
      <c r="D105" s="45" t="s">
        <v>66</v>
      </c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15.75" customHeight="1">
      <c r="A106" s="72" t="s">
        <v>157</v>
      </c>
      <c r="B106" s="73">
        <f t="shared" ref="B106:C106" si="14">B65</f>
        <v>0.368</v>
      </c>
      <c r="C106" s="87">
        <f t="shared" si="14"/>
        <v>0</v>
      </c>
      <c r="D106" s="7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15.75" customHeight="1">
      <c r="A107" s="72" t="s">
        <v>158</v>
      </c>
      <c r="B107" s="73">
        <f t="shared" ref="B107:C107" si="15">B72</f>
        <v>0.1139544</v>
      </c>
      <c r="C107" s="87">
        <f t="shared" si="15"/>
        <v>0</v>
      </c>
      <c r="D107" s="7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15.75" customHeight="1">
      <c r="A108" s="72" t="s">
        <v>159</v>
      </c>
      <c r="B108" s="73">
        <f t="shared" ref="B108:C108" si="16">B78</f>
        <v>0.002052</v>
      </c>
      <c r="C108" s="87">
        <f t="shared" si="16"/>
        <v>0</v>
      </c>
      <c r="D108" s="7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15.75" customHeight="1">
      <c r="A109" s="72" t="s">
        <v>160</v>
      </c>
      <c r="B109" s="73">
        <f t="shared" ref="B109:C109" si="17">B90</f>
        <v>0.069552</v>
      </c>
      <c r="C109" s="87">
        <f t="shared" si="17"/>
        <v>0</v>
      </c>
      <c r="D109" s="7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15.75" customHeight="1">
      <c r="A110" s="72" t="s">
        <v>161</v>
      </c>
      <c r="B110" s="73">
        <f t="shared" ref="B110:C110" si="18">B102</f>
        <v>0.1740096</v>
      </c>
      <c r="C110" s="87">
        <f t="shared" si="18"/>
        <v>0</v>
      </c>
      <c r="D110" s="7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15.75" customHeight="1">
      <c r="A111" s="76" t="s">
        <v>162</v>
      </c>
      <c r="B111" s="77">
        <f t="shared" ref="B111:C111" si="19">SUM(B106:B110)</f>
        <v>0.727568</v>
      </c>
      <c r="C111" s="88">
        <f t="shared" si="19"/>
        <v>0</v>
      </c>
      <c r="D111" s="7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15.75" customHeight="1">
      <c r="A112" s="80"/>
      <c r="B112" s="9"/>
      <c r="C112" s="9"/>
      <c r="D112" s="1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37.5" customHeight="1">
      <c r="A113" s="76" t="s">
        <v>163</v>
      </c>
      <c r="B113" s="89">
        <f>C111+C50+C42+C29</f>
        <v>883.6666667</v>
      </c>
      <c r="C113" s="10"/>
      <c r="D113" s="90" t="s">
        <v>164</v>
      </c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15.75" customHeight="1">
      <c r="A114" s="91"/>
      <c r="B114" s="9"/>
      <c r="C114" s="9"/>
      <c r="D114" s="1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15.75" customHeight="1">
      <c r="A115" s="60" t="s">
        <v>165</v>
      </c>
      <c r="B115" s="9"/>
      <c r="C115" s="9"/>
      <c r="D115" s="1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15.75" customHeight="1">
      <c r="A116" s="92" t="s">
        <v>166</v>
      </c>
      <c r="B116" s="33"/>
      <c r="C116" s="33"/>
      <c r="D116" s="3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15.75" customHeight="1">
      <c r="A117" s="93" t="s">
        <v>167</v>
      </c>
      <c r="B117" s="94"/>
      <c r="C117" s="95"/>
      <c r="D117" s="96" t="s">
        <v>168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15.75" customHeight="1">
      <c r="A118" s="93" t="s">
        <v>227</v>
      </c>
      <c r="B118" s="94"/>
      <c r="C118" s="95"/>
      <c r="D118" s="9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15.75" customHeight="1">
      <c r="A119" s="98" t="s">
        <v>228</v>
      </c>
      <c r="B119" s="94"/>
      <c r="C119" s="95"/>
      <c r="D119" s="97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15.75" customHeight="1">
      <c r="A120" s="99" t="s">
        <v>229</v>
      </c>
      <c r="B120" s="94"/>
      <c r="C120" s="95"/>
      <c r="D120" s="10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15.75" customHeight="1">
      <c r="A121" s="101"/>
      <c r="B121" s="36"/>
      <c r="C121" s="36"/>
      <c r="D121" s="37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15.75" customHeight="1">
      <c r="A122" s="60" t="s">
        <v>172</v>
      </c>
      <c r="B122" s="9"/>
      <c r="C122" s="9"/>
      <c r="D122" s="1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30.75" customHeight="1">
      <c r="A123" s="54" t="s">
        <v>173</v>
      </c>
      <c r="B123" s="30" t="s">
        <v>174</v>
      </c>
      <c r="C123" s="30" t="s">
        <v>50</v>
      </c>
      <c r="D123" s="27" t="s">
        <v>66</v>
      </c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15.75" customHeight="1">
      <c r="A124" s="46" t="s">
        <v>175</v>
      </c>
      <c r="B124" s="49">
        <v>0.1</v>
      </c>
      <c r="C124" s="102">
        <f>B124*B113</f>
        <v>88.36666667</v>
      </c>
      <c r="D124" s="46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15.75" customHeight="1">
      <c r="A125" s="24" t="s">
        <v>176</v>
      </c>
      <c r="B125" s="55">
        <f t="shared" ref="B125:C125" si="20">B124</f>
        <v>0.1</v>
      </c>
      <c r="C125" s="51">
        <f t="shared" si="20"/>
        <v>88.36666667</v>
      </c>
      <c r="D125" s="46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15.75" customHeight="1">
      <c r="A126" s="42"/>
      <c r="B126" s="9"/>
      <c r="C126" s="9"/>
      <c r="D126" s="1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15.75" customHeight="1">
      <c r="A127" s="60" t="s">
        <v>177</v>
      </c>
      <c r="B127" s="9"/>
      <c r="C127" s="9"/>
      <c r="D127" s="1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30.75" customHeight="1">
      <c r="A128" s="46"/>
      <c r="B128" s="30" t="s">
        <v>174</v>
      </c>
      <c r="C128" s="30" t="s">
        <v>50</v>
      </c>
      <c r="D128" s="27" t="s">
        <v>66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15.75" customHeight="1">
      <c r="A129" s="46" t="s">
        <v>178</v>
      </c>
      <c r="B129" s="49">
        <f>B124</f>
        <v>0.1</v>
      </c>
      <c r="C129" s="39">
        <f>SUM(B113+C125)*B129</f>
        <v>97.20333333</v>
      </c>
      <c r="D129" s="46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15.75" customHeight="1">
      <c r="A130" s="24" t="s">
        <v>179</v>
      </c>
      <c r="B130" s="55">
        <f t="shared" ref="B130:C130" si="21">B129</f>
        <v>0.1</v>
      </c>
      <c r="C130" s="51">
        <f t="shared" si="21"/>
        <v>97.20333333</v>
      </c>
      <c r="D130" s="2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15.75" customHeight="1">
      <c r="A131" s="42"/>
      <c r="B131" s="9"/>
      <c r="C131" s="9"/>
      <c r="D131" s="1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15.75" customHeight="1">
      <c r="A132" s="60" t="s">
        <v>180</v>
      </c>
      <c r="B132" s="9"/>
      <c r="C132" s="9"/>
      <c r="D132" s="1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30.75" customHeight="1">
      <c r="A133" s="30" t="s">
        <v>181</v>
      </c>
      <c r="B133" s="30" t="s">
        <v>182</v>
      </c>
      <c r="C133" s="30" t="s">
        <v>50</v>
      </c>
      <c r="D133" s="27" t="s">
        <v>66</v>
      </c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15.75" customHeight="1">
      <c r="A134" s="46" t="s">
        <v>183</v>
      </c>
      <c r="B134" s="49">
        <v>0.02</v>
      </c>
      <c r="C134" s="39">
        <f t="shared" ref="C134:C136" si="22">(SUM(B$113+C$125+C$130)/(100%-B$137)*B134)</f>
        <v>24.09547418</v>
      </c>
      <c r="D134" s="46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15.75" customHeight="1">
      <c r="A135" s="46" t="s">
        <v>184</v>
      </c>
      <c r="B135" s="49">
        <v>0.076</v>
      </c>
      <c r="C135" s="39">
        <f t="shared" si="22"/>
        <v>91.56280188</v>
      </c>
      <c r="D135" s="46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15.75" customHeight="1">
      <c r="A136" s="46" t="s">
        <v>185</v>
      </c>
      <c r="B136" s="49">
        <v>0.0165</v>
      </c>
      <c r="C136" s="39">
        <f t="shared" si="22"/>
        <v>19.8787662</v>
      </c>
      <c r="D136" s="46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15.75" customHeight="1">
      <c r="A137" s="24" t="s">
        <v>186</v>
      </c>
      <c r="B137" s="55">
        <f>B134+B135+B136</f>
        <v>0.1125</v>
      </c>
      <c r="C137" s="51">
        <f>SUM(C134:C136)</f>
        <v>135.5370423</v>
      </c>
      <c r="D137" s="46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15.75" customHeight="1">
      <c r="A138" s="42"/>
      <c r="B138" s="9"/>
      <c r="C138" s="9"/>
      <c r="D138" s="1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15.75" customHeight="1">
      <c r="A139" s="60" t="s">
        <v>187</v>
      </c>
      <c r="B139" s="10"/>
      <c r="C139" s="51">
        <f>C125+C130+C137</f>
        <v>321.1070423</v>
      </c>
      <c r="D139" s="46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15.75" customHeight="1">
      <c r="A140" s="42"/>
      <c r="B140" s="9"/>
      <c r="C140" s="9"/>
      <c r="D140" s="1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15.75" customHeight="1">
      <c r="A141" s="60" t="s">
        <v>188</v>
      </c>
      <c r="B141" s="10"/>
      <c r="C141" s="51">
        <f>C139+B113</f>
        <v>1204.773709</v>
      </c>
      <c r="D141" s="103" t="s">
        <v>189</v>
      </c>
      <c r="E141" s="21"/>
      <c r="F141" s="71"/>
      <c r="G141" s="7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15.75" customHeight="1">
      <c r="A142" s="104"/>
      <c r="B142" s="9"/>
      <c r="C142" s="9"/>
      <c r="D142" s="9"/>
      <c r="E142" s="20"/>
      <c r="F142" s="20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15.75" customHeight="1">
      <c r="A143" s="105" t="s">
        <v>190</v>
      </c>
      <c r="B143" s="9"/>
      <c r="C143" s="9"/>
      <c r="D143" s="1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15.75" customHeight="1">
      <c r="A144" s="60" t="s">
        <v>191</v>
      </c>
      <c r="B144" s="9"/>
      <c r="C144" s="10"/>
      <c r="D144" s="30" t="s">
        <v>192</v>
      </c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15.75" customHeight="1">
      <c r="A145" s="29" t="s">
        <v>193</v>
      </c>
      <c r="B145" s="9"/>
      <c r="C145" s="10"/>
      <c r="D145" s="102">
        <f>C29</f>
        <v>0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15.75" customHeight="1">
      <c r="A146" s="29" t="s">
        <v>194</v>
      </c>
      <c r="B146" s="9"/>
      <c r="C146" s="10"/>
      <c r="D146" s="102">
        <f>C42</f>
        <v>883.6666667</v>
      </c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15.75" customHeight="1">
      <c r="A147" s="29" t="s">
        <v>195</v>
      </c>
      <c r="B147" s="9"/>
      <c r="C147" s="10"/>
      <c r="D147" s="102">
        <f>C50</f>
        <v>0</v>
      </c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15.75" customHeight="1">
      <c r="A148" s="29" t="s">
        <v>196</v>
      </c>
      <c r="B148" s="9"/>
      <c r="C148" s="10"/>
      <c r="D148" s="102">
        <f>C65+C72+C78+C90+C102</f>
        <v>0</v>
      </c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15.75" customHeight="1">
      <c r="A149" s="60" t="s">
        <v>197</v>
      </c>
      <c r="B149" s="9"/>
      <c r="C149" s="10"/>
      <c r="D149" s="106">
        <f>SUM(D145:D148)</f>
        <v>883.6666667</v>
      </c>
      <c r="E149" s="71"/>
      <c r="F149" s="7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15.75" customHeight="1">
      <c r="A150" s="29" t="s">
        <v>198</v>
      </c>
      <c r="B150" s="9"/>
      <c r="C150" s="10"/>
      <c r="D150" s="102">
        <f>C139</f>
        <v>321.1070423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15.75" customHeight="1">
      <c r="A151" s="107" t="s">
        <v>199</v>
      </c>
      <c r="B151" s="9"/>
      <c r="C151" s="10"/>
      <c r="D151" s="108">
        <f>ROUND(D149+D150,2)</f>
        <v>1204.77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15.75" customHeight="1">
      <c r="A152" s="21"/>
      <c r="B152" s="21"/>
      <c r="C152" s="21"/>
      <c r="D152" s="21"/>
      <c r="E152" s="21"/>
      <c r="F152" s="7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15.75" customHeight="1">
      <c r="A153" s="109" t="s">
        <v>200</v>
      </c>
      <c r="B153" s="109" t="s">
        <v>201</v>
      </c>
      <c r="C153" s="110" t="s">
        <v>202</v>
      </c>
      <c r="D153" s="111" t="s">
        <v>203</v>
      </c>
      <c r="E153" s="21"/>
      <c r="F153" s="7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15.0" customHeight="1">
      <c r="A154" s="112"/>
      <c r="B154" s="112"/>
      <c r="C154" s="113"/>
      <c r="D154" s="114" t="s">
        <v>204</v>
      </c>
      <c r="E154" s="21"/>
      <c r="F154" s="7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23.25" customHeight="1">
      <c r="A155" s="118" t="s">
        <v>230</v>
      </c>
      <c r="B155" s="116">
        <v>6.0</v>
      </c>
      <c r="C155" s="117">
        <v>0.0</v>
      </c>
      <c r="D155" s="117">
        <f>C155*B155</f>
        <v>0</v>
      </c>
      <c r="E155" s="21"/>
      <c r="F155" s="7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15.75" customHeight="1">
      <c r="A156" s="19"/>
      <c r="B156" s="21"/>
      <c r="C156" s="21"/>
      <c r="D156" s="21"/>
      <c r="E156" s="21"/>
      <c r="F156" s="7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15.7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15.7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15.75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15.75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15.75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15.75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15.75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15.7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15.7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15.75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15.75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15.75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15.75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15.75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15.75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15.75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15.75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15.75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15.75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15.75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15.75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15.75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15.7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15.75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15.75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15.75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5.75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5.75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5.75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5.75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5.75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5.75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5.75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5.75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5.75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5.75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5.75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5.75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5.75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5.7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5.7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5.75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5.75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5.75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5.75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5.75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5.75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5.75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5.75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5.75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5.75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5.75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5.7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5.75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5.75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5.75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5.75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5.7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5.75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5.75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5.75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5.75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5.75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5.75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5.75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ht="15.75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ht="15.75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ht="15.75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ht="15.75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ht="15.75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ht="15.75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ht="15.75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ht="15.75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ht="15.75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ht="15.75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ht="15.75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ht="15.75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ht="15.75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ht="15.75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ht="15.75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ht="15.75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ht="15.75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ht="15.75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ht="15.75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ht="15.75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ht="15.75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ht="15.75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ht="15.75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ht="15.75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ht="15.75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ht="15.75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ht="15.75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ht="15.75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ht="15.75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ht="15.75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ht="15.75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ht="15.75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ht="15.75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ht="15.75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ht="15.75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ht="15.7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ht="15.7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ht="15.75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ht="15.75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ht="15.75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ht="15.75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ht="15.75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ht="15.75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ht="15.75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ht="15.75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ht="15.75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ht="15.75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ht="15.75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ht="15.75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ht="15.75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ht="15.7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ht="15.75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ht="15.75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ht="15.75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ht="15.75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ht="15.75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ht="15.75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ht="15.75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ht="15.75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ht="15.75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ht="15.75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ht="15.7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ht="15.75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ht="15.75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ht="15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ht="15.75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ht="15.75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ht="15.75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ht="15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ht="15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ht="15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ht="15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ht="15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ht="15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ht="15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ht="15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ht="15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ht="15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ht="15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ht="15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ht="15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ht="15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ht="15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ht="15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ht="15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ht="15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ht="15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ht="15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ht="15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ht="15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ht="15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ht="15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ht="15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ht="15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ht="15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ht="15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ht="15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ht="15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ht="15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ht="15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ht="15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ht="15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ht="15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ht="15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ht="15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ht="15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ht="15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ht="15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ht="15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ht="15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ht="15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ht="15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ht="15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ht="15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ht="15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ht="15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ht="15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ht="15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ht="15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ht="15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ht="15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ht="15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ht="15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ht="15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ht="15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ht="15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ht="15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ht="15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ht="15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ht="15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ht="15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ht="15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ht="15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ht="15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ht="15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ht="15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ht="15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ht="15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ht="15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ht="15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ht="15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ht="15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ht="15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ht="15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ht="15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ht="15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ht="15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ht="15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ht="15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ht="15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ht="15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ht="15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ht="15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ht="15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ht="15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ht="15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ht="15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ht="15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ht="15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ht="15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ht="15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ht="15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ht="15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ht="15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ht="15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ht="15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ht="15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ht="15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ht="15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ht="15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ht="15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ht="15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ht="15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ht="15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ht="15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ht="15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ht="15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ht="15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ht="15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ht="15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ht="15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ht="15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ht="15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ht="15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ht="15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ht="15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ht="15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ht="15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ht="15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ht="15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ht="15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ht="15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ht="15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ht="15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ht="15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ht="15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ht="15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ht="15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ht="15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ht="15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ht="15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ht="15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ht="15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ht="15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ht="15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ht="15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ht="15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ht="15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ht="15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ht="15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ht="15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ht="15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ht="15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ht="15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ht="15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ht="15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ht="15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ht="15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ht="15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ht="15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ht="15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ht="15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ht="15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ht="15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ht="15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ht="15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ht="15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ht="15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ht="15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ht="15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ht="15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ht="15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ht="15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ht="15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ht="15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ht="15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ht="15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ht="15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ht="15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ht="15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ht="15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ht="15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ht="15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ht="15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ht="15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ht="15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ht="15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ht="15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ht="15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ht="15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ht="15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ht="15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ht="15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ht="15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ht="15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ht="15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ht="15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ht="15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ht="15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ht="15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ht="15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ht="15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ht="15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ht="15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ht="15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ht="15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ht="15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ht="15.7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ht="15.75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ht="15.75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ht="15.75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ht="15.75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ht="15.75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ht="15.75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ht="15.75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ht="15.75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ht="15.75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ht="15.75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ht="15.75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ht="15.75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ht="15.75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ht="15.75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ht="15.75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ht="15.75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ht="15.75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ht="15.75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ht="15.75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ht="15.75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ht="15.7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ht="15.7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ht="15.75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ht="15.75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ht="15.75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ht="15.75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ht="15.75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ht="15.75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ht="15.75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ht="15.75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ht="15.75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ht="15.75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ht="15.75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ht="15.75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ht="15.75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ht="15.75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ht="15.75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ht="15.75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ht="15.7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ht="15.7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ht="15.75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ht="15.75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ht="15.75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ht="15.75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ht="15.75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ht="15.75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ht="15.75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ht="15.75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ht="15.75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ht="15.75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ht="15.75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ht="15.75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ht="15.75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ht="15.75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ht="15.7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ht="15.7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ht="15.7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ht="15.7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ht="15.75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ht="15.75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ht="15.75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ht="15.75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ht="15.75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ht="15.75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ht="15.75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ht="15.75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ht="15.75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ht="15.75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ht="15.75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ht="15.7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ht="15.7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ht="15.75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ht="15.7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ht="15.7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ht="15.7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ht="15.7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ht="15.75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ht="15.75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ht="15.75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ht="15.75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ht="15.75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ht="15.75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ht="15.75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ht="15.75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ht="15.75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ht="15.75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ht="15.75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ht="15.75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ht="15.75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ht="15.75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ht="15.75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ht="15.75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ht="15.75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ht="15.75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ht="15.75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ht="15.75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ht="15.75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ht="15.75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ht="15.75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ht="15.75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ht="15.75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ht="15.7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ht="15.75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ht="15.75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ht="15.75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ht="15.75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ht="15.75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ht="15.75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ht="15.75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ht="15.75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ht="15.75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ht="15.75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ht="15.75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ht="15.75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ht="15.75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ht="15.75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ht="15.75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ht="15.75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ht="15.75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ht="15.75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ht="15.75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ht="15.75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ht="15.75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ht="15.75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ht="15.75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ht="15.75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ht="15.75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ht="15.75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ht="15.75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ht="15.75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ht="15.75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ht="15.75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ht="15.75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ht="15.7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ht="15.75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ht="15.75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ht="15.75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ht="15.75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ht="15.75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ht="15.75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ht="15.75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ht="15.75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ht="15.75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ht="15.75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ht="15.75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ht="15.75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ht="15.75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ht="15.75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ht="15.75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ht="15.75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ht="15.75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ht="15.75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ht="15.75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ht="15.75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ht="15.75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ht="15.75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ht="15.75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ht="15.75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ht="15.75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ht="15.75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ht="15.75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ht="15.75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ht="15.75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ht="15.7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ht="15.75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ht="15.75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ht="15.75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ht="15.75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ht="15.75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ht="15.75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ht="15.75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ht="15.75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ht="15.75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ht="15.75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ht="15.75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ht="15.75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ht="15.7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ht="15.75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ht="15.75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ht="15.75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ht="15.75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ht="15.75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ht="15.75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ht="15.75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ht="15.75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ht="15.75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ht="15.75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ht="15.75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ht="15.75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ht="15.75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ht="15.75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ht="15.75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ht="15.75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ht="15.75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ht="15.75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ht="15.75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ht="15.75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ht="15.75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ht="15.75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ht="15.75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ht="15.75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ht="15.75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ht="15.75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ht="15.75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ht="15.75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ht="15.75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ht="15.7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ht="15.7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ht="15.75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ht="15.75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ht="15.75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ht="15.75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ht="15.75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ht="15.75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ht="15.75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ht="15.75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ht="15.75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ht="15.75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ht="15.75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ht="15.75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ht="15.75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ht="15.75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ht="15.7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ht="15.75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ht="15.75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ht="15.75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ht="15.75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ht="15.75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ht="15.75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ht="15.75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ht="15.75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ht="15.75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ht="15.75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ht="15.75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ht="15.75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ht="15.75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ht="15.75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ht="15.75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ht="15.75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ht="15.75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ht="15.75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ht="15.75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ht="15.7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ht="15.75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ht="15.75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ht="15.75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ht="15.75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ht="15.75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ht="15.75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ht="15.7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ht="15.75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ht="15.75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ht="15.75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ht="15.75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ht="15.75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ht="15.75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ht="15.75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ht="15.75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ht="15.75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ht="15.75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ht="15.75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ht="15.75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ht="15.75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ht="15.75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ht="15.75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ht="15.75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ht="15.75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ht="15.75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ht="15.75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ht="15.75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ht="15.75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ht="15.75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ht="15.75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ht="15.75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ht="15.75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ht="15.75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ht="15.75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ht="15.75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ht="15.75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ht="15.75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ht="15.75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ht="15.75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ht="15.7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ht="15.75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ht="15.75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ht="15.75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ht="15.75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ht="15.75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ht="15.75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ht="15.75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ht="15.75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ht="15.75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ht="15.75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ht="15.75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ht="15.75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ht="15.75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ht="15.7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ht="15.75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ht="15.75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ht="15.75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ht="15.75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ht="15.75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ht="15.75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ht="15.75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ht="15.75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ht="15.75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ht="15.75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ht="15.75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ht="15.75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ht="15.75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ht="15.75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ht="15.75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ht="15.75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ht="15.75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ht="15.75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ht="15.75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ht="15.75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ht="15.75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ht="15.75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ht="15.75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ht="15.75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ht="15.75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ht="15.75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ht="15.75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ht="15.75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ht="15.75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ht="15.75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ht="15.75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ht="15.7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ht="15.7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ht="15.75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ht="15.75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ht="15.75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ht="15.75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ht="15.75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ht="15.75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ht="15.75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ht="15.75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ht="15.75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ht="15.75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ht="15.75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ht="15.75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ht="15.75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ht="15.75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ht="15.75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ht="15.75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ht="15.75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ht="15.75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ht="15.75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ht="15.75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ht="15.75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ht="15.75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ht="15.75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ht="15.75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ht="15.75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ht="15.75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ht="15.75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ht="15.75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ht="15.75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ht="15.75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ht="15.75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ht="15.75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ht="15.7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ht="15.75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ht="15.75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ht="15.75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ht="15.7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ht="15.75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ht="15.75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ht="15.75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ht="15.75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ht="15.75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ht="15.75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ht="15.75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ht="15.75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ht="15.75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ht="15.75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ht="15.75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ht="15.75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ht="15.75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ht="15.75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ht="15.75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ht="15.75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ht="15.75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ht="15.75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ht="15.75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ht="15.75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ht="15.75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ht="15.75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ht="15.75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ht="15.75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ht="15.75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ht="15.75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ht="15.75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ht="15.75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ht="15.75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ht="15.75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ht="15.75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ht="15.75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ht="15.75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ht="15.7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ht="15.7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ht="15.75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ht="15.75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ht="15.75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ht="15.75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ht="15.7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ht="15.7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ht="15.7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ht="15.7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ht="15.75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ht="15.75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ht="15.75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ht="15.75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ht="15.75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ht="15.75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ht="15.75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ht="15.75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ht="15.75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ht="15.75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ht="15.75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ht="15.75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ht="15.75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ht="15.75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ht="15.75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ht="15.75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ht="15.75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ht="15.75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ht="15.75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ht="15.75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ht="15.75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ht="15.75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ht="15.75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ht="15.75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ht="15.75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ht="15.75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ht="15.75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ht="15.75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ht="15.75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ht="15.75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ht="15.7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ht="15.7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ht="15.75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ht="15.75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ht="15.75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ht="15.75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ht="15.75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ht="15.75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ht="15.75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ht="15.75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ht="15.75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ht="15.75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ht="15.75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ht="15.75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ht="15.75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ht="15.75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ht="15.75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ht="15.75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ht="15.7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ht="15.75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ht="15.75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ht="15.75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ht="15.75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ht="15.75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ht="15.75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ht="15.75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ht="15.75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ht="15.75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ht="15.75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ht="15.75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ht="15.75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ht="15.75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ht="15.75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ht="15.75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ht="15.75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ht="15.75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ht="15.75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ht="15.75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ht="15.75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ht="15.75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ht="15.7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ht="15.7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ht="15.75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ht="15.75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ht="15.75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ht="15.75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ht="15.75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ht="15.75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ht="15.75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ht="15.75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ht="15.75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ht="15.75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ht="15.75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ht="15.75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ht="15.75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ht="15.75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ht="15.75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ht="15.75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ht="15.75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ht="15.75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ht="15.75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ht="15.7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ht="15.7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ht="15.75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ht="15.75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ht="15.75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ht="15.75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ht="15.75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ht="15.75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ht="15.75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72">
    <mergeCell ref="A121:D121"/>
    <mergeCell ref="A122:D122"/>
    <mergeCell ref="A126:D126"/>
    <mergeCell ref="A127:D127"/>
    <mergeCell ref="A131:D131"/>
    <mergeCell ref="A132:D132"/>
    <mergeCell ref="A138:D138"/>
    <mergeCell ref="A139:B139"/>
    <mergeCell ref="A140:D140"/>
    <mergeCell ref="A141:B141"/>
    <mergeCell ref="A142:D142"/>
    <mergeCell ref="A143:D143"/>
    <mergeCell ref="A144:C144"/>
    <mergeCell ref="A145:C145"/>
    <mergeCell ref="B153:B154"/>
    <mergeCell ref="C153:C154"/>
    <mergeCell ref="A146:C146"/>
    <mergeCell ref="A147:C147"/>
    <mergeCell ref="A148:C148"/>
    <mergeCell ref="A149:C149"/>
    <mergeCell ref="A150:C150"/>
    <mergeCell ref="A151:C151"/>
    <mergeCell ref="A153:A154"/>
    <mergeCell ref="A1:D1"/>
    <mergeCell ref="A3:D3"/>
    <mergeCell ref="A5:D5"/>
    <mergeCell ref="B6:D6"/>
    <mergeCell ref="B7:C7"/>
    <mergeCell ref="B8:D8"/>
    <mergeCell ref="A9:D9"/>
    <mergeCell ref="A10:D10"/>
    <mergeCell ref="A11:D11"/>
    <mergeCell ref="A12:D12"/>
    <mergeCell ref="A13:C13"/>
    <mergeCell ref="A14:C14"/>
    <mergeCell ref="A15:C15"/>
    <mergeCell ref="A16:C16"/>
    <mergeCell ref="A17:C17"/>
    <mergeCell ref="A18:D19"/>
    <mergeCell ref="A20:C20"/>
    <mergeCell ref="B21:D21"/>
    <mergeCell ref="A22:D22"/>
    <mergeCell ref="A30:D30"/>
    <mergeCell ref="A31:D31"/>
    <mergeCell ref="A32:D32"/>
    <mergeCell ref="A43:D43"/>
    <mergeCell ref="A44:D44"/>
    <mergeCell ref="A51:D51"/>
    <mergeCell ref="A52:D52"/>
    <mergeCell ref="A53:D53"/>
    <mergeCell ref="A54:C54"/>
    <mergeCell ref="A55:D55"/>
    <mergeCell ref="A66:D66"/>
    <mergeCell ref="A67:D67"/>
    <mergeCell ref="A73:D73"/>
    <mergeCell ref="A74:D74"/>
    <mergeCell ref="A79:D79"/>
    <mergeCell ref="A80:D80"/>
    <mergeCell ref="A91:D91"/>
    <mergeCell ref="A92:D92"/>
    <mergeCell ref="A103:D103"/>
    <mergeCell ref="A104:D104"/>
    <mergeCell ref="A112:D112"/>
    <mergeCell ref="B113:C113"/>
    <mergeCell ref="A114:D114"/>
    <mergeCell ref="A115:D115"/>
    <mergeCell ref="A116:D116"/>
    <mergeCell ref="A117:C117"/>
    <mergeCell ref="D117:D120"/>
    <mergeCell ref="A118:C118"/>
    <mergeCell ref="A119:C119"/>
    <mergeCell ref="A120:C120"/>
  </mergeCells>
  <dataValidations>
    <dataValidation type="list" allowBlank="1" showErrorMessage="1" sqref="D54">
      <formula1>$H$57</formula1>
    </dataValidation>
  </dataValidations>
  <printOptions horizontalCentered="1"/>
  <pageMargins bottom="0.7874015748031497" footer="0.0" header="0.0" left="0.7874015748031497" right="0.7874015748031497" top="1.968503937007874"/>
  <pageSetup fitToHeight="0" orientation="portrait"/>
  <headerFooter>
    <oddFooter>&amp;CRua Omilio Monteiro Soares, 997, Fanny - CEP 81030-000 - Curitiba . Paraná - Fone/Fax: 55 (41) 3027-7575 www.viaservicosintegrados.com.br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3" max="3" width="26.86"/>
    <col customWidth="1" min="4" max="4" width="8.71"/>
    <col customWidth="1" min="5" max="5" width="8.0"/>
    <col customWidth="1" min="6" max="6" width="33.14"/>
    <col customWidth="1" min="7" max="7" width="18.0"/>
    <col customWidth="1" min="8" max="8" width="34.57"/>
    <col customWidth="1" min="9" max="9" width="44.57"/>
    <col customWidth="1" min="10" max="10" width="16.86"/>
    <col customWidth="1" min="11" max="11" width="15.86"/>
    <col customWidth="1" min="12" max="12" width="14.29"/>
    <col customWidth="1" hidden="1" min="13" max="13" width="27.86"/>
    <col customWidth="1" min="14" max="14" width="11.57"/>
    <col customWidth="1" min="15" max="26" width="8.0"/>
  </cols>
  <sheetData>
    <row r="1" ht="16.5" customHeight="1">
      <c r="A1" s="122" t="s">
        <v>28</v>
      </c>
      <c r="I1" s="123"/>
      <c r="J1" s="124"/>
      <c r="L1" s="124"/>
      <c r="M1" s="124"/>
      <c r="N1" s="124"/>
    </row>
    <row r="2" ht="15.75" customHeight="1">
      <c r="A2" s="125" t="s">
        <v>231</v>
      </c>
      <c r="I2" s="126"/>
      <c r="J2" s="124"/>
    </row>
    <row r="3" ht="15.75" customHeight="1">
      <c r="A3" s="127" t="s">
        <v>232</v>
      </c>
      <c r="B3" s="128"/>
      <c r="C3" s="128"/>
      <c r="D3" s="128"/>
      <c r="E3" s="128"/>
      <c r="F3" s="128"/>
      <c r="G3" s="128"/>
      <c r="H3" s="128"/>
      <c r="I3" s="123"/>
    </row>
    <row r="4" ht="15.75" customHeight="1">
      <c r="A4" s="129" t="s">
        <v>12</v>
      </c>
      <c r="B4" s="130" t="s">
        <v>200</v>
      </c>
      <c r="C4" s="131"/>
      <c r="D4" s="130" t="s">
        <v>233</v>
      </c>
      <c r="E4" s="131"/>
      <c r="F4" s="132" t="s">
        <v>234</v>
      </c>
      <c r="G4" s="133" t="s">
        <v>203</v>
      </c>
      <c r="H4" s="133" t="s">
        <v>235</v>
      </c>
      <c r="I4" s="126"/>
    </row>
    <row r="5" ht="16.5" customHeight="1">
      <c r="A5" s="134"/>
      <c r="B5" s="135"/>
      <c r="C5" s="136"/>
      <c r="D5" s="135"/>
      <c r="E5" s="136"/>
      <c r="F5" s="137"/>
      <c r="G5" s="138" t="s">
        <v>204</v>
      </c>
      <c r="H5" s="138"/>
      <c r="I5" s="126"/>
      <c r="J5" s="139"/>
    </row>
    <row r="6" ht="15.75" customHeight="1">
      <c r="A6" s="140" t="s">
        <v>236</v>
      </c>
      <c r="B6" s="141" t="s">
        <v>237</v>
      </c>
      <c r="C6" s="142"/>
      <c r="D6" s="143" t="s">
        <v>238</v>
      </c>
      <c r="E6" s="142"/>
      <c r="F6" s="144" t="s">
        <v>239</v>
      </c>
      <c r="G6" s="145" t="str">
        <f>ROUND((F6*7),2)</f>
        <v>#VALUE!</v>
      </c>
      <c r="H6" s="146" t="str">
        <f>ROUND((G6*4),2)</f>
        <v>#VALUE!</v>
      </c>
      <c r="I6" s="123"/>
      <c r="J6" s="139"/>
      <c r="K6" s="139"/>
      <c r="L6" s="139"/>
      <c r="M6" s="139"/>
    </row>
    <row r="7" ht="16.5" customHeight="1">
      <c r="A7" s="147" t="s">
        <v>240</v>
      </c>
      <c r="B7" s="148"/>
      <c r="C7" s="148"/>
      <c r="D7" s="148"/>
      <c r="E7" s="148"/>
      <c r="F7" s="142"/>
      <c r="G7" s="149" t="str">
        <f t="shared" ref="G7:H7" si="1">G6</f>
        <v>#VALUE!</v>
      </c>
      <c r="H7" s="149" t="str">
        <f t="shared" si="1"/>
        <v>#VALUE!</v>
      </c>
      <c r="I7" s="126"/>
      <c r="J7" s="139"/>
      <c r="K7" s="139"/>
      <c r="L7" s="139"/>
      <c r="M7" s="139"/>
    </row>
    <row r="8" ht="16.5" customHeight="1">
      <c r="A8" s="150" t="s">
        <v>241</v>
      </c>
      <c r="B8" s="148"/>
      <c r="C8" s="148"/>
      <c r="D8" s="148"/>
      <c r="E8" s="148"/>
      <c r="F8" s="148"/>
      <c r="G8" s="148"/>
      <c r="H8" s="151"/>
      <c r="I8" s="123"/>
      <c r="J8" s="139"/>
    </row>
    <row r="9" ht="15.75" customHeight="1">
      <c r="A9" s="152" t="s">
        <v>12</v>
      </c>
      <c r="B9" s="130" t="s">
        <v>200</v>
      </c>
      <c r="C9" s="131"/>
      <c r="D9" s="153" t="s">
        <v>242</v>
      </c>
      <c r="E9" s="154"/>
      <c r="F9" s="129" t="s">
        <v>234</v>
      </c>
      <c r="G9" s="155" t="s">
        <v>203</v>
      </c>
      <c r="H9" s="133" t="s">
        <v>235</v>
      </c>
      <c r="I9" s="156"/>
    </row>
    <row r="10" ht="16.5" customHeight="1">
      <c r="A10" s="137"/>
      <c r="B10" s="135"/>
      <c r="C10" s="136"/>
      <c r="D10" s="157" t="s">
        <v>243</v>
      </c>
      <c r="E10" s="158"/>
      <c r="F10" s="134"/>
      <c r="G10" s="138" t="s">
        <v>204</v>
      </c>
      <c r="H10" s="138"/>
      <c r="I10" s="123"/>
      <c r="L10" s="139"/>
      <c r="M10" s="139"/>
      <c r="N10" s="159"/>
    </row>
    <row r="11" ht="15.75" customHeight="1">
      <c r="A11" s="160" t="s">
        <v>244</v>
      </c>
      <c r="B11" s="161" t="s">
        <v>245</v>
      </c>
      <c r="C11" s="142"/>
      <c r="D11" s="162">
        <f>26019.26-370.56+617.99</f>
        <v>26266.69</v>
      </c>
      <c r="E11" s="142"/>
      <c r="F11" s="163" t="s">
        <v>246</v>
      </c>
      <c r="G11" s="145" t="str">
        <f t="shared" ref="G11:G13" si="2">ROUND((D11*F11),2)</f>
        <v>#VALUE!</v>
      </c>
      <c r="H11" s="164" t="str">
        <f>ROUND((G11*4),2)</f>
        <v>#VALUE!</v>
      </c>
      <c r="I11" s="126"/>
      <c r="J11" s="139"/>
      <c r="K11" s="165"/>
      <c r="L11" s="139"/>
      <c r="M11" s="139"/>
    </row>
    <row r="12" ht="15.75" customHeight="1">
      <c r="A12" s="166" t="s">
        <v>247</v>
      </c>
      <c r="B12" s="161" t="s">
        <v>248</v>
      </c>
      <c r="C12" s="142"/>
      <c r="D12" s="162">
        <f>9530.06-9530.06</f>
        <v>0</v>
      </c>
      <c r="E12" s="142"/>
      <c r="F12" s="167" t="s">
        <v>246</v>
      </c>
      <c r="G12" s="145" t="str">
        <f t="shared" si="2"/>
        <v>#VALUE!</v>
      </c>
      <c r="H12" s="164" t="str">
        <f>ROUND((G12*12),2)</f>
        <v>#VALUE!</v>
      </c>
      <c r="I12" s="123"/>
      <c r="J12" s="139"/>
      <c r="K12" s="165"/>
      <c r="L12" s="139"/>
      <c r="M12" s="139"/>
    </row>
    <row r="13" ht="15.75" customHeight="1">
      <c r="A13" s="166" t="s">
        <v>249</v>
      </c>
      <c r="B13" s="168" t="s">
        <v>250</v>
      </c>
      <c r="C13" s="142"/>
      <c r="D13" s="162">
        <v>2077.03</v>
      </c>
      <c r="E13" s="142"/>
      <c r="F13" s="163" t="s">
        <v>239</v>
      </c>
      <c r="G13" s="145" t="str">
        <f t="shared" si="2"/>
        <v>#VALUE!</v>
      </c>
      <c r="H13" s="164" t="str">
        <f>ROUND((G13*4),2)</f>
        <v>#VALUE!</v>
      </c>
      <c r="I13" s="126"/>
      <c r="J13" s="139"/>
      <c r="K13" s="165"/>
      <c r="M13" s="139"/>
    </row>
    <row r="14" ht="16.5" customHeight="1">
      <c r="A14" s="147" t="s">
        <v>240</v>
      </c>
      <c r="B14" s="148"/>
      <c r="C14" s="148"/>
      <c r="D14" s="148"/>
      <c r="E14" s="148"/>
      <c r="F14" s="142"/>
      <c r="G14" s="169" t="str">
        <f t="shared" ref="G14:H14" si="3">ROUND((SUM(G11:G13)),2)</f>
        <v>#VALUE!</v>
      </c>
      <c r="H14" s="170" t="str">
        <f t="shared" si="3"/>
        <v>#VALUE!</v>
      </c>
      <c r="I14" s="126"/>
      <c r="J14" s="139"/>
    </row>
    <row r="15" ht="16.5" customHeight="1">
      <c r="A15" s="150" t="s">
        <v>251</v>
      </c>
      <c r="B15" s="148"/>
      <c r="C15" s="148"/>
      <c r="D15" s="148"/>
      <c r="E15" s="148"/>
      <c r="F15" s="148"/>
      <c r="G15" s="148"/>
      <c r="H15" s="151"/>
      <c r="I15" s="123"/>
      <c r="J15" s="139"/>
    </row>
    <row r="16" ht="15.75" customHeight="1">
      <c r="A16" s="132" t="s">
        <v>12</v>
      </c>
      <c r="B16" s="130" t="s">
        <v>200</v>
      </c>
      <c r="C16" s="131"/>
      <c r="D16" s="153" t="s">
        <v>242</v>
      </c>
      <c r="E16" s="154"/>
      <c r="F16" s="129" t="s">
        <v>234</v>
      </c>
      <c r="G16" s="133" t="s">
        <v>203</v>
      </c>
      <c r="H16" s="133" t="s">
        <v>235</v>
      </c>
      <c r="I16" s="126"/>
      <c r="J16" s="139"/>
    </row>
    <row r="17" ht="16.5" customHeight="1">
      <c r="A17" s="137"/>
      <c r="B17" s="135"/>
      <c r="C17" s="136"/>
      <c r="D17" s="157" t="s">
        <v>243</v>
      </c>
      <c r="E17" s="158"/>
      <c r="F17" s="134"/>
      <c r="G17" s="138" t="s">
        <v>204</v>
      </c>
      <c r="H17" s="138"/>
      <c r="I17" s="123"/>
      <c r="J17" s="139"/>
    </row>
    <row r="18" ht="15.75" customHeight="1">
      <c r="A18" s="160" t="s">
        <v>244</v>
      </c>
      <c r="B18" s="141" t="s">
        <v>245</v>
      </c>
      <c r="C18" s="142"/>
      <c r="D18" s="162">
        <v>370.56</v>
      </c>
      <c r="E18" s="142"/>
      <c r="F18" s="163" t="str">
        <f>F11</f>
        <v>#ERROR!</v>
      </c>
      <c r="G18" s="145" t="str">
        <f>ROUND((D18*F18),2)</f>
        <v>#VALUE!</v>
      </c>
      <c r="H18" s="164" t="str">
        <f>ROUND((G18*4),2)</f>
        <v>#VALUE!</v>
      </c>
      <c r="I18" s="126"/>
      <c r="J18" s="139"/>
      <c r="K18" s="165"/>
    </row>
    <row r="19" ht="16.5" customHeight="1">
      <c r="A19" s="147" t="s">
        <v>240</v>
      </c>
      <c r="B19" s="148"/>
      <c r="C19" s="148"/>
      <c r="D19" s="148"/>
      <c r="E19" s="148"/>
      <c r="F19" s="142"/>
      <c r="G19" s="171" t="str">
        <f t="shared" ref="G19:H19" si="4">ROUND((SUM(G18)),2)</f>
        <v>#VALUE!</v>
      </c>
      <c r="H19" s="171" t="str">
        <f t="shared" si="4"/>
        <v>#VALUE!</v>
      </c>
      <c r="I19" s="126"/>
      <c r="J19" s="139"/>
    </row>
    <row r="20" ht="16.5" customHeight="1">
      <c r="A20" s="150" t="s">
        <v>252</v>
      </c>
      <c r="B20" s="148"/>
      <c r="C20" s="148"/>
      <c r="D20" s="148"/>
      <c r="E20" s="148"/>
      <c r="F20" s="148"/>
      <c r="G20" s="148"/>
      <c r="H20" s="151"/>
      <c r="I20" s="123"/>
      <c r="J20" s="139"/>
    </row>
    <row r="21" ht="15.75" customHeight="1">
      <c r="A21" s="132" t="s">
        <v>12</v>
      </c>
      <c r="B21" s="130" t="s">
        <v>200</v>
      </c>
      <c r="C21" s="131"/>
      <c r="D21" s="153" t="s">
        <v>242</v>
      </c>
      <c r="E21" s="154"/>
      <c r="F21" s="129" t="s">
        <v>234</v>
      </c>
      <c r="G21" s="133" t="s">
        <v>203</v>
      </c>
      <c r="H21" s="133" t="s">
        <v>235</v>
      </c>
      <c r="I21" s="126"/>
      <c r="J21" s="139"/>
    </row>
    <row r="22" ht="16.5" customHeight="1">
      <c r="A22" s="137"/>
      <c r="B22" s="135"/>
      <c r="C22" s="136"/>
      <c r="D22" s="157" t="s">
        <v>243</v>
      </c>
      <c r="E22" s="158"/>
      <c r="F22" s="134"/>
      <c r="G22" s="138" t="s">
        <v>204</v>
      </c>
      <c r="H22" s="138"/>
      <c r="I22" s="123"/>
      <c r="J22" s="139"/>
    </row>
    <row r="23" ht="15.75" customHeight="1">
      <c r="A23" s="172" t="s">
        <v>253</v>
      </c>
      <c r="B23" s="141" t="s">
        <v>245</v>
      </c>
      <c r="C23" s="142"/>
      <c r="D23" s="162">
        <f>2881.34-224.09-257.82</f>
        <v>2399.43</v>
      </c>
      <c r="E23" s="142"/>
      <c r="F23" s="163" t="str">
        <f t="shared" ref="F23:F24" si="5">F11</f>
        <v>#ERROR!</v>
      </c>
      <c r="G23" s="145" t="str">
        <f t="shared" ref="G23:G27" si="6">ROUND((D23*F23),2)</f>
        <v>#VALUE!</v>
      </c>
      <c r="H23" s="164" t="str">
        <f t="shared" ref="H23:H27" si="7">ROUND((G23*4),2)</f>
        <v>#VALUE!</v>
      </c>
      <c r="I23" s="126"/>
      <c r="J23" s="139"/>
      <c r="K23" s="165"/>
    </row>
    <row r="24" ht="15.75" customHeight="1">
      <c r="A24" s="172" t="s">
        <v>254</v>
      </c>
      <c r="B24" s="141" t="s">
        <v>248</v>
      </c>
      <c r="C24" s="142"/>
      <c r="D24" s="162">
        <f>2159.9-354.77-615.39</f>
        <v>1189.74</v>
      </c>
      <c r="E24" s="142"/>
      <c r="F24" s="163" t="str">
        <f t="shared" si="5"/>
        <v>#ERROR!</v>
      </c>
      <c r="G24" s="145" t="str">
        <f t="shared" si="6"/>
        <v>#VALUE!</v>
      </c>
      <c r="H24" s="164" t="str">
        <f t="shared" si="7"/>
        <v>#VALUE!</v>
      </c>
      <c r="I24" s="123"/>
      <c r="J24" s="139"/>
      <c r="K24" s="165"/>
    </row>
    <row r="25" ht="15.75" customHeight="1">
      <c r="A25" s="172" t="s">
        <v>255</v>
      </c>
      <c r="B25" s="173" t="s">
        <v>250</v>
      </c>
      <c r="C25" s="142"/>
      <c r="D25" s="162">
        <f>744.67+958.29-29.32</f>
        <v>1673.64</v>
      </c>
      <c r="E25" s="142"/>
      <c r="F25" s="163" t="s">
        <v>239</v>
      </c>
      <c r="G25" s="145" t="str">
        <f t="shared" si="6"/>
        <v>#VALUE!</v>
      </c>
      <c r="H25" s="164" t="str">
        <f t="shared" si="7"/>
        <v>#VALUE!</v>
      </c>
      <c r="I25" s="126"/>
      <c r="J25" s="139"/>
      <c r="K25" s="165"/>
      <c r="M25" s="139"/>
    </row>
    <row r="26" ht="15.75" customHeight="1">
      <c r="A26" s="172" t="s">
        <v>256</v>
      </c>
      <c r="B26" s="141" t="s">
        <v>257</v>
      </c>
      <c r="C26" s="142"/>
      <c r="D26" s="162">
        <f>5927.36+435.77</f>
        <v>6363.13</v>
      </c>
      <c r="E26" s="142"/>
      <c r="F26" s="163" t="s">
        <v>246</v>
      </c>
      <c r="G26" s="145" t="str">
        <f t="shared" si="6"/>
        <v>#VALUE!</v>
      </c>
      <c r="H26" s="164" t="str">
        <f t="shared" si="7"/>
        <v>#VALUE!</v>
      </c>
      <c r="I26" s="126"/>
      <c r="J26" s="139"/>
      <c r="K26" s="165"/>
    </row>
    <row r="27" ht="15.75" customHeight="1">
      <c r="A27" s="172" t="s">
        <v>258</v>
      </c>
      <c r="B27" s="141" t="s">
        <v>259</v>
      </c>
      <c r="C27" s="142"/>
      <c r="D27" s="162">
        <f>2620.63+183.57</f>
        <v>2804.2</v>
      </c>
      <c r="E27" s="142"/>
      <c r="F27" s="163" t="s">
        <v>246</v>
      </c>
      <c r="G27" s="145" t="str">
        <f t="shared" si="6"/>
        <v>#VALUE!</v>
      </c>
      <c r="H27" s="164" t="str">
        <f t="shared" si="7"/>
        <v>#VALUE!</v>
      </c>
      <c r="I27" s="123"/>
      <c r="J27" s="139"/>
      <c r="K27" s="165"/>
    </row>
    <row r="28" ht="16.5" customHeight="1">
      <c r="A28" s="147" t="s">
        <v>240</v>
      </c>
      <c r="B28" s="148"/>
      <c r="C28" s="148"/>
      <c r="D28" s="148"/>
      <c r="E28" s="148"/>
      <c r="F28" s="142"/>
      <c r="G28" s="171" t="str">
        <f t="shared" ref="G28:H28" si="8">ROUND((SUM(G23:G27)),2)</f>
        <v>#VALUE!</v>
      </c>
      <c r="H28" s="171" t="str">
        <f t="shared" si="8"/>
        <v>#VALUE!</v>
      </c>
      <c r="I28" s="126"/>
      <c r="J28" s="139"/>
    </row>
    <row r="29" ht="16.5" customHeight="1">
      <c r="A29" s="150" t="s">
        <v>260</v>
      </c>
      <c r="B29" s="148"/>
      <c r="C29" s="148"/>
      <c r="D29" s="148"/>
      <c r="E29" s="148"/>
      <c r="F29" s="148"/>
      <c r="G29" s="148"/>
      <c r="H29" s="151"/>
      <c r="I29" s="123"/>
      <c r="J29" s="139"/>
    </row>
    <row r="30" ht="15.75" customHeight="1">
      <c r="A30" s="174" t="s">
        <v>12</v>
      </c>
      <c r="B30" s="130" t="s">
        <v>200</v>
      </c>
      <c r="C30" s="131"/>
      <c r="D30" s="153" t="s">
        <v>242</v>
      </c>
      <c r="E30" s="154"/>
      <c r="F30" s="129" t="s">
        <v>234</v>
      </c>
      <c r="G30" s="155" t="s">
        <v>203</v>
      </c>
      <c r="H30" s="133" t="s">
        <v>235</v>
      </c>
      <c r="I30" s="126"/>
      <c r="J30" s="139"/>
      <c r="K30" s="139"/>
    </row>
    <row r="31" ht="16.5" customHeight="1">
      <c r="A31" s="175"/>
      <c r="B31" s="135"/>
      <c r="C31" s="136"/>
      <c r="D31" s="157" t="s">
        <v>243</v>
      </c>
      <c r="E31" s="158"/>
      <c r="F31" s="134"/>
      <c r="G31" s="138" t="s">
        <v>204</v>
      </c>
      <c r="H31" s="138"/>
      <c r="I31" s="126"/>
      <c r="J31" s="139"/>
      <c r="K31" s="139"/>
    </row>
    <row r="32" ht="15.75" customHeight="1">
      <c r="A32" s="166" t="s">
        <v>261</v>
      </c>
      <c r="B32" s="141" t="s">
        <v>262</v>
      </c>
      <c r="C32" s="142"/>
      <c r="D32" s="162">
        <f>58698.12+1100</f>
        <v>59798.12</v>
      </c>
      <c r="E32" s="142"/>
      <c r="F32" s="163" t="s">
        <v>246</v>
      </c>
      <c r="G32" s="145" t="str">
        <f t="shared" ref="G32:G34" si="9">ROUND((D32*F32),2)</f>
        <v>#VALUE!</v>
      </c>
      <c r="H32" s="164" t="str">
        <f t="shared" ref="H32:H35" si="10">ROUND((G32*4),2)</f>
        <v>#VALUE!</v>
      </c>
      <c r="I32" s="123"/>
      <c r="J32" s="139"/>
      <c r="K32" s="165"/>
    </row>
    <row r="33" ht="15.75" customHeight="1">
      <c r="A33" s="166" t="s">
        <v>263</v>
      </c>
      <c r="B33" s="141" t="s">
        <v>264</v>
      </c>
      <c r="C33" s="142"/>
      <c r="D33" s="162">
        <f>32310.27-1615.99+1000</f>
        <v>31694.28</v>
      </c>
      <c r="E33" s="142"/>
      <c r="F33" s="163" t="s">
        <v>246</v>
      </c>
      <c r="G33" s="145" t="str">
        <f t="shared" si="9"/>
        <v>#VALUE!</v>
      </c>
      <c r="H33" s="164" t="str">
        <f t="shared" si="10"/>
        <v>#VALUE!</v>
      </c>
      <c r="I33" s="126"/>
      <c r="J33" s="139"/>
      <c r="K33" s="165"/>
    </row>
    <row r="34" ht="15.75" customHeight="1">
      <c r="A34" s="166" t="s">
        <v>265</v>
      </c>
      <c r="B34" s="173" t="s">
        <v>250</v>
      </c>
      <c r="C34" s="142"/>
      <c r="D34" s="162">
        <v>9331.53</v>
      </c>
      <c r="E34" s="142"/>
      <c r="F34" s="176" t="s">
        <v>239</v>
      </c>
      <c r="G34" s="145" t="str">
        <f t="shared" si="9"/>
        <v>#VALUE!</v>
      </c>
      <c r="H34" s="164" t="str">
        <f t="shared" si="10"/>
        <v>#VALUE!</v>
      </c>
      <c r="I34" s="126"/>
      <c r="J34" s="139"/>
      <c r="K34" s="165"/>
    </row>
    <row r="35" ht="15.75" customHeight="1">
      <c r="A35" s="140" t="s">
        <v>236</v>
      </c>
      <c r="B35" s="141" t="s">
        <v>237</v>
      </c>
      <c r="C35" s="142"/>
      <c r="D35" s="143" t="s">
        <v>266</v>
      </c>
      <c r="E35" s="142"/>
      <c r="F35" s="144" t="str">
        <f>F6</f>
        <v>#REF!</v>
      </c>
      <c r="G35" s="145" t="str">
        <f>ROUND((F35*1),2)</f>
        <v>#VALUE!</v>
      </c>
      <c r="H35" s="146" t="str">
        <f t="shared" si="10"/>
        <v>#VALUE!</v>
      </c>
      <c r="I35" s="123"/>
      <c r="J35" s="139"/>
      <c r="K35" s="139"/>
      <c r="L35" s="139"/>
      <c r="M35" s="139"/>
    </row>
    <row r="36" ht="16.5" customHeight="1">
      <c r="A36" s="177"/>
      <c r="B36" s="147" t="s">
        <v>240</v>
      </c>
      <c r="C36" s="148"/>
      <c r="D36" s="148"/>
      <c r="E36" s="148"/>
      <c r="F36" s="151"/>
      <c r="G36" s="171" t="str">
        <f t="shared" ref="G36:H36" si="11">ROUND((SUM(G32:G35)),2)</f>
        <v>#VALUE!</v>
      </c>
      <c r="H36" s="178" t="str">
        <f t="shared" si="11"/>
        <v>#VALUE!</v>
      </c>
      <c r="I36" s="123"/>
      <c r="K36" s="165"/>
      <c r="M36" s="139"/>
    </row>
    <row r="37" ht="20.25" customHeight="1">
      <c r="A37" s="179" t="str">
        <f>ROUND((G7+G14+G19+G28+G36),2)</f>
        <v>#VALUE!</v>
      </c>
      <c r="B37" s="148"/>
      <c r="C37" s="148"/>
      <c r="D37" s="148"/>
      <c r="E37" s="148"/>
      <c r="F37" s="148"/>
      <c r="G37" s="142"/>
      <c r="H37" s="180" t="str">
        <f>ROUND((H7+H14+H19+H28+H36),2)</f>
        <v>#VALUE!</v>
      </c>
      <c r="I37" s="181"/>
      <c r="J37" s="182"/>
      <c r="K37" s="165"/>
      <c r="L37" s="183"/>
      <c r="M37" s="184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</row>
    <row r="38" ht="15.75" customHeight="1">
      <c r="H38" s="124"/>
    </row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0">
    <mergeCell ref="B30:C31"/>
    <mergeCell ref="B32:C32"/>
    <mergeCell ref="B33:C33"/>
    <mergeCell ref="B34:C34"/>
    <mergeCell ref="B35:C35"/>
    <mergeCell ref="B13:C13"/>
    <mergeCell ref="B16:C17"/>
    <mergeCell ref="B18:C18"/>
    <mergeCell ref="B21:C22"/>
    <mergeCell ref="B23:C23"/>
    <mergeCell ref="B24:C24"/>
    <mergeCell ref="B25:C25"/>
    <mergeCell ref="A1:H1"/>
    <mergeCell ref="A2:H2"/>
    <mergeCell ref="A3:H3"/>
    <mergeCell ref="A4:A5"/>
    <mergeCell ref="B4:C5"/>
    <mergeCell ref="D4:E5"/>
    <mergeCell ref="B6:C6"/>
    <mergeCell ref="D6:E6"/>
    <mergeCell ref="A7:F7"/>
    <mergeCell ref="A8:H8"/>
    <mergeCell ref="B9:C10"/>
    <mergeCell ref="D9:E9"/>
    <mergeCell ref="F9:F10"/>
    <mergeCell ref="D10:E10"/>
    <mergeCell ref="B11:C11"/>
    <mergeCell ref="D11:E11"/>
    <mergeCell ref="B12:C12"/>
    <mergeCell ref="D12:E12"/>
    <mergeCell ref="D13:E13"/>
    <mergeCell ref="A14:F14"/>
    <mergeCell ref="A15:H15"/>
    <mergeCell ref="D16:E16"/>
    <mergeCell ref="F16:F17"/>
    <mergeCell ref="D17:E17"/>
    <mergeCell ref="D18:E18"/>
    <mergeCell ref="A19:F19"/>
    <mergeCell ref="A20:H20"/>
    <mergeCell ref="F21:F22"/>
    <mergeCell ref="B26:C26"/>
    <mergeCell ref="B27:C27"/>
    <mergeCell ref="A28:F28"/>
    <mergeCell ref="A29:H29"/>
    <mergeCell ref="D21:E21"/>
    <mergeCell ref="D22:E22"/>
    <mergeCell ref="D23:E23"/>
    <mergeCell ref="D24:E24"/>
    <mergeCell ref="D25:E25"/>
    <mergeCell ref="D26:E26"/>
    <mergeCell ref="D27:E27"/>
    <mergeCell ref="B36:F36"/>
    <mergeCell ref="A37:G37"/>
    <mergeCell ref="D30:E30"/>
    <mergeCell ref="F30:F31"/>
    <mergeCell ref="D31:E31"/>
    <mergeCell ref="D32:E32"/>
    <mergeCell ref="D33:E33"/>
    <mergeCell ref="D34:E34"/>
    <mergeCell ref="D35:E35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3" max="3" width="26.86"/>
    <col customWidth="1" min="4" max="4" width="8.71"/>
    <col customWidth="1" min="5" max="5" width="8.0"/>
    <col customWidth="1" min="6" max="6" width="33.14"/>
    <col customWidth="1" min="7" max="7" width="18.0"/>
    <col customWidth="1" min="8" max="8" width="34.57"/>
    <col customWidth="1" min="9" max="9" width="44.57"/>
    <col customWidth="1" min="10" max="10" width="16.86"/>
    <col customWidth="1" min="11" max="11" width="15.86"/>
    <col customWidth="1" min="12" max="12" width="14.29"/>
    <col customWidth="1" hidden="1" min="13" max="13" width="27.86"/>
    <col customWidth="1" min="14" max="14" width="11.57"/>
    <col customWidth="1" min="15" max="26" width="8.0"/>
  </cols>
  <sheetData>
    <row r="1" ht="16.5" customHeight="1">
      <c r="A1" s="122" t="s">
        <v>28</v>
      </c>
      <c r="I1" s="123"/>
      <c r="J1" s="124"/>
      <c r="L1" s="124"/>
      <c r="M1" s="124"/>
      <c r="N1" s="124"/>
    </row>
    <row r="2" ht="15.75" customHeight="1">
      <c r="A2" s="125" t="s">
        <v>231</v>
      </c>
      <c r="I2" s="126"/>
      <c r="J2" s="124"/>
    </row>
    <row r="3" ht="15.75" customHeight="1">
      <c r="A3" s="127" t="s">
        <v>267</v>
      </c>
      <c r="B3" s="128"/>
      <c r="C3" s="128"/>
      <c r="D3" s="128"/>
      <c r="E3" s="128"/>
      <c r="F3" s="128"/>
      <c r="G3" s="128"/>
      <c r="H3" s="128"/>
      <c r="I3" s="123"/>
    </row>
    <row r="4" ht="15.75" customHeight="1">
      <c r="A4" s="129" t="s">
        <v>12</v>
      </c>
      <c r="B4" s="130" t="s">
        <v>200</v>
      </c>
      <c r="C4" s="131"/>
      <c r="D4" s="130" t="s">
        <v>233</v>
      </c>
      <c r="E4" s="131"/>
      <c r="F4" s="132" t="s">
        <v>234</v>
      </c>
      <c r="G4" s="133" t="s">
        <v>203</v>
      </c>
      <c r="H4" s="133" t="s">
        <v>235</v>
      </c>
      <c r="I4" s="126"/>
    </row>
    <row r="5" ht="16.5" customHeight="1">
      <c r="A5" s="134"/>
      <c r="B5" s="135"/>
      <c r="C5" s="136"/>
      <c r="D5" s="135"/>
      <c r="E5" s="136"/>
      <c r="F5" s="137"/>
      <c r="G5" s="138" t="s">
        <v>204</v>
      </c>
      <c r="H5" s="138"/>
      <c r="I5" s="126"/>
      <c r="J5" s="139"/>
    </row>
    <row r="6" ht="15.75" customHeight="1">
      <c r="A6" s="140" t="s">
        <v>236</v>
      </c>
      <c r="B6" s="141" t="s">
        <v>237</v>
      </c>
      <c r="C6" s="142"/>
      <c r="D6" s="143" t="s">
        <v>268</v>
      </c>
      <c r="E6" s="142"/>
      <c r="F6" s="144" t="str">
        <f>ROUND((#REF!),2)</f>
        <v>#REF!</v>
      </c>
      <c r="G6" s="145" t="str">
        <f>ROUND((F6*9),2)</f>
        <v>#REF!</v>
      </c>
      <c r="H6" s="146" t="str">
        <f>ROUND((G6*4),2)</f>
        <v>#REF!</v>
      </c>
      <c r="I6" s="145"/>
      <c r="J6" s="139"/>
      <c r="K6" s="139"/>
      <c r="L6" s="139"/>
      <c r="M6" s="139"/>
    </row>
    <row r="7" ht="16.5" customHeight="1">
      <c r="A7" s="147" t="s">
        <v>240</v>
      </c>
      <c r="B7" s="148"/>
      <c r="C7" s="148"/>
      <c r="D7" s="148"/>
      <c r="E7" s="148"/>
      <c r="F7" s="142"/>
      <c r="G7" s="149" t="str">
        <f t="shared" ref="G7:H7" si="1">G6</f>
        <v>#REF!</v>
      </c>
      <c r="H7" s="149" t="str">
        <f t="shared" si="1"/>
        <v>#REF!</v>
      </c>
      <c r="I7" s="185"/>
      <c r="J7" s="139"/>
      <c r="K7" s="139"/>
      <c r="L7" s="139"/>
      <c r="M7" s="139"/>
    </row>
    <row r="8" ht="16.5" customHeight="1">
      <c r="A8" s="150" t="s">
        <v>241</v>
      </c>
      <c r="B8" s="148"/>
      <c r="C8" s="148"/>
      <c r="D8" s="148"/>
      <c r="E8" s="148"/>
      <c r="F8" s="148"/>
      <c r="G8" s="148"/>
      <c r="H8" s="151"/>
      <c r="I8" s="123"/>
      <c r="J8" s="139"/>
    </row>
    <row r="9" ht="15.75" customHeight="1">
      <c r="A9" s="152" t="s">
        <v>12</v>
      </c>
      <c r="B9" s="130" t="s">
        <v>200</v>
      </c>
      <c r="C9" s="131"/>
      <c r="D9" s="153" t="s">
        <v>242</v>
      </c>
      <c r="E9" s="154"/>
      <c r="F9" s="129" t="s">
        <v>234</v>
      </c>
      <c r="G9" s="155" t="s">
        <v>203</v>
      </c>
      <c r="H9" s="133" t="s">
        <v>235</v>
      </c>
      <c r="I9" s="126"/>
    </row>
    <row r="10" ht="16.5" customHeight="1">
      <c r="A10" s="137"/>
      <c r="B10" s="135"/>
      <c r="C10" s="136"/>
      <c r="D10" s="157" t="s">
        <v>243</v>
      </c>
      <c r="E10" s="158"/>
      <c r="F10" s="134"/>
      <c r="G10" s="138" t="s">
        <v>204</v>
      </c>
      <c r="H10" s="138"/>
      <c r="I10" s="123"/>
      <c r="L10" s="139"/>
      <c r="M10" s="139"/>
      <c r="N10" s="159"/>
    </row>
    <row r="11" ht="15.75" customHeight="1">
      <c r="A11" s="160" t="s">
        <v>244</v>
      </c>
      <c r="B11" s="161" t="s">
        <v>245</v>
      </c>
      <c r="C11" s="142"/>
      <c r="D11" s="162">
        <f>26019.26-370.56+617.99+1105-137.7+600+1200</f>
        <v>29033.99</v>
      </c>
      <c r="E11" s="142"/>
      <c r="F11" s="163" t="str">
        <f>#REF!+[1]Encarregado!#REF!</f>
        <v>#ERROR!</v>
      </c>
      <c r="G11" s="145" t="str">
        <f t="shared" ref="G11:G13" si="2">ROUND((D11*F11),2)</f>
        <v>#ERROR!</v>
      </c>
      <c r="H11" s="164" t="str">
        <f>ROUND((G11*4),2)</f>
        <v>#ERROR!</v>
      </c>
      <c r="I11" s="181"/>
      <c r="J11" s="139"/>
      <c r="K11" s="165"/>
      <c r="L11" s="139"/>
      <c r="M11" s="139"/>
    </row>
    <row r="12" ht="15.75" customHeight="1">
      <c r="A12" s="166" t="s">
        <v>247</v>
      </c>
      <c r="B12" s="161" t="s">
        <v>248</v>
      </c>
      <c r="C12" s="142"/>
      <c r="D12" s="162">
        <f>9530.06-9530.06</f>
        <v>0</v>
      </c>
      <c r="E12" s="142"/>
      <c r="F12" s="167" t="str">
        <f>#REF!+[1]Encarregado!#REF!</f>
        <v>#ERROR!</v>
      </c>
      <c r="G12" s="145" t="str">
        <f t="shared" si="2"/>
        <v>#ERROR!</v>
      </c>
      <c r="H12" s="164" t="str">
        <f>ROUND((G12*12),2)</f>
        <v>#ERROR!</v>
      </c>
      <c r="I12" s="123"/>
      <c r="J12" s="139"/>
      <c r="K12" s="165"/>
      <c r="L12" s="139"/>
      <c r="M12" s="139"/>
    </row>
    <row r="13" ht="15.75" customHeight="1">
      <c r="A13" s="166" t="s">
        <v>249</v>
      </c>
      <c r="B13" s="168" t="s">
        <v>250</v>
      </c>
      <c r="C13" s="142"/>
      <c r="D13" s="162">
        <v>2077.03</v>
      </c>
      <c r="E13" s="142"/>
      <c r="F13" s="163" t="str">
        <f>'[2]Equipe Volante'!D205</f>
        <v>#REF!</v>
      </c>
      <c r="G13" s="145" t="str">
        <f t="shared" si="2"/>
        <v>#REF!</v>
      </c>
      <c r="H13" s="164" t="str">
        <f>ROUND((G13*4),2)</f>
        <v>#REF!</v>
      </c>
      <c r="I13" s="126"/>
      <c r="J13" s="139"/>
      <c r="K13" s="165"/>
      <c r="M13" s="139"/>
    </row>
    <row r="14" ht="16.5" customHeight="1">
      <c r="A14" s="147" t="s">
        <v>240</v>
      </c>
      <c r="B14" s="148"/>
      <c r="C14" s="148"/>
      <c r="D14" s="148"/>
      <c r="E14" s="148"/>
      <c r="F14" s="142"/>
      <c r="G14" s="169" t="str">
        <f t="shared" ref="G14:H14" si="3">ROUND((SUM(G11:G13)),2)</f>
        <v>#ERROR!</v>
      </c>
      <c r="H14" s="170" t="str">
        <f t="shared" si="3"/>
        <v>#ERROR!</v>
      </c>
      <c r="I14" s="126"/>
      <c r="J14" s="139"/>
    </row>
    <row r="15" ht="16.5" customHeight="1">
      <c r="A15" s="150" t="s">
        <v>251</v>
      </c>
      <c r="B15" s="148"/>
      <c r="C15" s="148"/>
      <c r="D15" s="148"/>
      <c r="E15" s="148"/>
      <c r="F15" s="148"/>
      <c r="G15" s="148"/>
      <c r="H15" s="151"/>
      <c r="I15" s="123"/>
      <c r="J15" s="139"/>
    </row>
    <row r="16" ht="15.75" customHeight="1">
      <c r="A16" s="132" t="s">
        <v>12</v>
      </c>
      <c r="B16" s="130" t="s">
        <v>200</v>
      </c>
      <c r="C16" s="131"/>
      <c r="D16" s="153" t="s">
        <v>242</v>
      </c>
      <c r="E16" s="154"/>
      <c r="F16" s="129" t="s">
        <v>234</v>
      </c>
      <c r="G16" s="133" t="s">
        <v>203</v>
      </c>
      <c r="H16" s="133" t="s">
        <v>235</v>
      </c>
      <c r="I16" s="126"/>
      <c r="J16" s="139"/>
    </row>
    <row r="17" ht="16.5" customHeight="1">
      <c r="A17" s="137"/>
      <c r="B17" s="135"/>
      <c r="C17" s="136"/>
      <c r="D17" s="157" t="s">
        <v>243</v>
      </c>
      <c r="E17" s="158"/>
      <c r="F17" s="134"/>
      <c r="G17" s="138" t="s">
        <v>204</v>
      </c>
      <c r="H17" s="138"/>
      <c r="I17" s="123"/>
      <c r="J17" s="139"/>
    </row>
    <row r="18" ht="15.75" customHeight="1">
      <c r="A18" s="160" t="s">
        <v>244</v>
      </c>
      <c r="B18" s="141" t="s">
        <v>245</v>
      </c>
      <c r="C18" s="142"/>
      <c r="D18" s="162">
        <v>370.56</v>
      </c>
      <c r="E18" s="142"/>
      <c r="F18" s="163" t="str">
        <f>F11</f>
        <v>#ERROR!</v>
      </c>
      <c r="G18" s="145" t="str">
        <f>ROUND((D18*F18),2)</f>
        <v>#ERROR!</v>
      </c>
      <c r="H18" s="164" t="str">
        <f>ROUND((G18*4),2)</f>
        <v>#ERROR!</v>
      </c>
      <c r="I18" s="181"/>
      <c r="J18" s="139"/>
      <c r="K18" s="165"/>
    </row>
    <row r="19" ht="16.5" customHeight="1">
      <c r="A19" s="147" t="s">
        <v>240</v>
      </c>
      <c r="B19" s="148"/>
      <c r="C19" s="148"/>
      <c r="D19" s="148"/>
      <c r="E19" s="148"/>
      <c r="F19" s="142"/>
      <c r="G19" s="171" t="str">
        <f t="shared" ref="G19:H19" si="4">ROUND((SUM(G18)),2)</f>
        <v>#ERROR!</v>
      </c>
      <c r="H19" s="171" t="str">
        <f t="shared" si="4"/>
        <v>#ERROR!</v>
      </c>
      <c r="I19" s="126"/>
      <c r="J19" s="139"/>
    </row>
    <row r="20" ht="16.5" customHeight="1">
      <c r="A20" s="150" t="s">
        <v>252</v>
      </c>
      <c r="B20" s="148"/>
      <c r="C20" s="148"/>
      <c r="D20" s="148"/>
      <c r="E20" s="148"/>
      <c r="F20" s="148"/>
      <c r="G20" s="148"/>
      <c r="H20" s="151"/>
      <c r="I20" s="123"/>
      <c r="J20" s="139"/>
    </row>
    <row r="21" ht="15.75" customHeight="1">
      <c r="A21" s="132" t="s">
        <v>12</v>
      </c>
      <c r="B21" s="130" t="s">
        <v>200</v>
      </c>
      <c r="C21" s="131"/>
      <c r="D21" s="153" t="s">
        <v>242</v>
      </c>
      <c r="E21" s="154"/>
      <c r="F21" s="129" t="s">
        <v>234</v>
      </c>
      <c r="G21" s="133" t="s">
        <v>203</v>
      </c>
      <c r="H21" s="133" t="s">
        <v>235</v>
      </c>
      <c r="I21" s="126"/>
      <c r="J21" s="139"/>
    </row>
    <row r="22" ht="16.5" customHeight="1">
      <c r="A22" s="137"/>
      <c r="B22" s="135"/>
      <c r="C22" s="136"/>
      <c r="D22" s="157" t="s">
        <v>243</v>
      </c>
      <c r="E22" s="158"/>
      <c r="F22" s="134"/>
      <c r="G22" s="138" t="s">
        <v>204</v>
      </c>
      <c r="H22" s="138"/>
      <c r="I22" s="123"/>
      <c r="J22" s="139"/>
    </row>
    <row r="23" ht="15.75" customHeight="1">
      <c r="A23" s="172" t="s">
        <v>253</v>
      </c>
      <c r="B23" s="141" t="s">
        <v>245</v>
      </c>
      <c r="C23" s="142"/>
      <c r="D23" s="162">
        <f>2881.34-224.09-257.82</f>
        <v>2399.43</v>
      </c>
      <c r="E23" s="142"/>
      <c r="F23" s="163" t="str">
        <f t="shared" ref="F23:F24" si="5">F11</f>
        <v>#ERROR!</v>
      </c>
      <c r="G23" s="145" t="str">
        <f t="shared" ref="G23:G27" si="6">ROUND((D23*F23),2)</f>
        <v>#ERROR!</v>
      </c>
      <c r="H23" s="164" t="str">
        <f t="shared" ref="H23:H27" si="7">ROUND((G23*4),2)</f>
        <v>#ERROR!</v>
      </c>
      <c r="I23" s="181"/>
      <c r="J23" s="139"/>
      <c r="K23" s="165"/>
    </row>
    <row r="24" ht="15.75" customHeight="1">
      <c r="A24" s="172" t="s">
        <v>254</v>
      </c>
      <c r="B24" s="141" t="s">
        <v>248</v>
      </c>
      <c r="C24" s="142"/>
      <c r="D24" s="162">
        <f>2159.9-354.77-615.39</f>
        <v>1189.74</v>
      </c>
      <c r="E24" s="142"/>
      <c r="F24" s="163" t="str">
        <f t="shared" si="5"/>
        <v>#ERROR!</v>
      </c>
      <c r="G24" s="145" t="str">
        <f t="shared" si="6"/>
        <v>#ERROR!</v>
      </c>
      <c r="H24" s="164" t="str">
        <f t="shared" si="7"/>
        <v>#ERROR!</v>
      </c>
      <c r="I24" s="186"/>
      <c r="J24" s="139"/>
      <c r="K24" s="165"/>
    </row>
    <row r="25" ht="15.75" customHeight="1">
      <c r="A25" s="172" t="s">
        <v>255</v>
      </c>
      <c r="B25" s="173" t="s">
        <v>250</v>
      </c>
      <c r="C25" s="142"/>
      <c r="D25" s="162">
        <f>744.67+958.29-29.32</f>
        <v>1673.64</v>
      </c>
      <c r="E25" s="142"/>
      <c r="F25" s="163" t="str">
        <f>'[2]Equipe Volante'!D205</f>
        <v>#REF!</v>
      </c>
      <c r="G25" s="145" t="str">
        <f t="shared" si="6"/>
        <v>#REF!</v>
      </c>
      <c r="H25" s="164" t="str">
        <f t="shared" si="7"/>
        <v>#REF!</v>
      </c>
      <c r="I25" s="126"/>
      <c r="J25" s="139"/>
      <c r="K25" s="165"/>
      <c r="M25" s="139"/>
    </row>
    <row r="26" ht="15.75" customHeight="1">
      <c r="A26" s="172" t="s">
        <v>256</v>
      </c>
      <c r="B26" s="141" t="s">
        <v>257</v>
      </c>
      <c r="C26" s="142"/>
      <c r="D26" s="162">
        <f>5927.36+435.77</f>
        <v>6363.13</v>
      </c>
      <c r="E26" s="142"/>
      <c r="F26" s="163" t="str">
        <f>#REF!+[1]Encarregado!#REF!</f>
        <v>#ERROR!</v>
      </c>
      <c r="G26" s="145" t="str">
        <f t="shared" si="6"/>
        <v>#ERROR!</v>
      </c>
      <c r="H26" s="164" t="str">
        <f t="shared" si="7"/>
        <v>#ERROR!</v>
      </c>
      <c r="I26" s="126"/>
      <c r="J26" s="139"/>
      <c r="K26" s="165"/>
    </row>
    <row r="27" ht="15.75" customHeight="1">
      <c r="A27" s="172" t="s">
        <v>258</v>
      </c>
      <c r="B27" s="141" t="s">
        <v>259</v>
      </c>
      <c r="C27" s="142"/>
      <c r="D27" s="162">
        <f>2620.63+183.57</f>
        <v>2804.2</v>
      </c>
      <c r="E27" s="142"/>
      <c r="F27" s="163" t="str">
        <f>#REF!+[1]Encarregado!#REF!</f>
        <v>#ERROR!</v>
      </c>
      <c r="G27" s="145" t="str">
        <f t="shared" si="6"/>
        <v>#ERROR!</v>
      </c>
      <c r="H27" s="164" t="str">
        <f t="shared" si="7"/>
        <v>#ERROR!</v>
      </c>
      <c r="I27" s="123"/>
      <c r="J27" s="139"/>
      <c r="K27" s="165"/>
    </row>
    <row r="28" ht="16.5" customHeight="1">
      <c r="A28" s="147" t="s">
        <v>240</v>
      </c>
      <c r="B28" s="148"/>
      <c r="C28" s="148"/>
      <c r="D28" s="148"/>
      <c r="E28" s="148"/>
      <c r="F28" s="142"/>
      <c r="G28" s="171" t="str">
        <f t="shared" ref="G28:H28" si="8">ROUND((SUM(G23:G27)),2)</f>
        <v>#ERROR!</v>
      </c>
      <c r="H28" s="171" t="str">
        <f t="shared" si="8"/>
        <v>#ERROR!</v>
      </c>
      <c r="I28" s="126"/>
      <c r="J28" s="139"/>
    </row>
    <row r="29" ht="16.5" customHeight="1">
      <c r="A29" s="150" t="s">
        <v>260</v>
      </c>
      <c r="B29" s="148"/>
      <c r="C29" s="148"/>
      <c r="D29" s="148"/>
      <c r="E29" s="148"/>
      <c r="F29" s="148"/>
      <c r="G29" s="148"/>
      <c r="H29" s="151"/>
      <c r="I29" s="123"/>
      <c r="J29" s="139"/>
    </row>
    <row r="30" ht="15.75" customHeight="1">
      <c r="A30" s="174" t="s">
        <v>12</v>
      </c>
      <c r="B30" s="130" t="s">
        <v>200</v>
      </c>
      <c r="C30" s="131"/>
      <c r="D30" s="153" t="s">
        <v>242</v>
      </c>
      <c r="E30" s="154"/>
      <c r="F30" s="129" t="s">
        <v>234</v>
      </c>
      <c r="G30" s="155" t="s">
        <v>203</v>
      </c>
      <c r="H30" s="133" t="s">
        <v>235</v>
      </c>
      <c r="I30" s="126"/>
      <c r="J30" s="139"/>
      <c r="K30" s="139"/>
    </row>
    <row r="31" ht="16.5" customHeight="1">
      <c r="A31" s="175"/>
      <c r="B31" s="135"/>
      <c r="C31" s="136"/>
      <c r="D31" s="157" t="s">
        <v>243</v>
      </c>
      <c r="E31" s="158"/>
      <c r="F31" s="134"/>
      <c r="G31" s="138" t="s">
        <v>204</v>
      </c>
      <c r="H31" s="138"/>
      <c r="I31" s="126"/>
      <c r="J31" s="139"/>
      <c r="K31" s="139"/>
    </row>
    <row r="32" ht="15.75" customHeight="1">
      <c r="A32" s="166" t="s">
        <v>261</v>
      </c>
      <c r="B32" s="141" t="s">
        <v>262</v>
      </c>
      <c r="C32" s="142"/>
      <c r="D32" s="162">
        <f>58698.12+1100+542.32</f>
        <v>60340.44</v>
      </c>
      <c r="E32" s="142"/>
      <c r="F32" s="163" t="str">
        <f>#REF!+[1]Encarregado!#REF!</f>
        <v>#ERROR!</v>
      </c>
      <c r="G32" s="145" t="str">
        <f t="shared" ref="G32:G34" si="9">ROUND((D32*F32),2)</f>
        <v>#ERROR!</v>
      </c>
      <c r="H32" s="164" t="str">
        <f t="shared" ref="H32:H35" si="10">ROUND((G32*4),2)</f>
        <v>#ERROR!</v>
      </c>
      <c r="I32" s="186"/>
      <c r="J32" s="139"/>
      <c r="K32" s="165"/>
    </row>
    <row r="33" ht="15.75" customHeight="1">
      <c r="A33" s="166" t="s">
        <v>263</v>
      </c>
      <c r="B33" s="141" t="s">
        <v>264</v>
      </c>
      <c r="C33" s="142"/>
      <c r="D33" s="162">
        <f>32310.27-1615.99+1000+1615.99</f>
        <v>33310.27</v>
      </c>
      <c r="E33" s="142"/>
      <c r="F33" s="163" t="str">
        <f>#REF!+[1]Encarregado!#REF!</f>
        <v>#ERROR!</v>
      </c>
      <c r="G33" s="145" t="str">
        <f t="shared" si="9"/>
        <v>#ERROR!</v>
      </c>
      <c r="H33" s="164" t="str">
        <f t="shared" si="10"/>
        <v>#ERROR!</v>
      </c>
      <c r="I33" s="186"/>
      <c r="J33" s="139"/>
      <c r="K33" s="165"/>
    </row>
    <row r="34" ht="15.75" customHeight="1">
      <c r="A34" s="166" t="s">
        <v>265</v>
      </c>
      <c r="B34" s="173" t="s">
        <v>250</v>
      </c>
      <c r="C34" s="142"/>
      <c r="D34" s="162">
        <v>9331.53</v>
      </c>
      <c r="E34" s="142"/>
      <c r="F34" s="176" t="str">
        <f>'[2]Equipe Volante'!D205</f>
        <v>#REF!</v>
      </c>
      <c r="G34" s="145" t="str">
        <f t="shared" si="9"/>
        <v>#REF!</v>
      </c>
      <c r="H34" s="164" t="str">
        <f t="shared" si="10"/>
        <v>#REF!</v>
      </c>
      <c r="I34" s="126"/>
      <c r="J34" s="139"/>
      <c r="K34" s="165"/>
    </row>
    <row r="35" ht="15.75" customHeight="1">
      <c r="A35" s="140" t="s">
        <v>236</v>
      </c>
      <c r="B35" s="141" t="s">
        <v>237</v>
      </c>
      <c r="C35" s="142"/>
      <c r="D35" s="143" t="s">
        <v>269</v>
      </c>
      <c r="E35" s="142"/>
      <c r="F35" s="144" t="str">
        <f>F6</f>
        <v>#REF!</v>
      </c>
      <c r="G35" s="145" t="str">
        <f>ROUND((F35*1),2)</f>
        <v>#REF!</v>
      </c>
      <c r="H35" s="164" t="str">
        <f t="shared" si="10"/>
        <v>#REF!</v>
      </c>
      <c r="I35" s="181"/>
      <c r="J35" s="139"/>
      <c r="K35" s="139"/>
      <c r="L35" s="139"/>
      <c r="M35" s="139"/>
    </row>
    <row r="36" ht="16.5" customHeight="1">
      <c r="A36" s="177"/>
      <c r="B36" s="147" t="s">
        <v>240</v>
      </c>
      <c r="C36" s="148"/>
      <c r="D36" s="148"/>
      <c r="E36" s="148"/>
      <c r="F36" s="151"/>
      <c r="G36" s="171" t="str">
        <f t="shared" ref="G36:H36" si="11">ROUND((SUM(G32:G35)),2)</f>
        <v>#ERROR!</v>
      </c>
      <c r="H36" s="178" t="str">
        <f t="shared" si="11"/>
        <v>#ERROR!</v>
      </c>
      <c r="I36" s="181"/>
      <c r="K36" s="165"/>
      <c r="M36" s="139"/>
    </row>
    <row r="37" ht="20.25" customHeight="1">
      <c r="A37" s="179" t="str">
        <f>ROUND((G7+G14+G19+G28+G36),2)</f>
        <v>#REF!</v>
      </c>
      <c r="B37" s="148"/>
      <c r="C37" s="148"/>
      <c r="D37" s="148"/>
      <c r="E37" s="148"/>
      <c r="F37" s="148"/>
      <c r="G37" s="142"/>
      <c r="H37" s="180" t="str">
        <f>ROUND((H7+H14+H19+H28+H36),2)</f>
        <v>#REF!</v>
      </c>
      <c r="I37" s="187"/>
      <c r="J37" s="182"/>
      <c r="K37" s="165"/>
      <c r="L37" s="183"/>
      <c r="M37" s="184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</row>
    <row r="38" ht="15.75" customHeight="1">
      <c r="H38" s="124"/>
      <c r="I38" s="139"/>
      <c r="J38" s="124"/>
      <c r="K38" s="124"/>
    </row>
    <row r="39" ht="15.75" customHeight="1">
      <c r="A39" s="188" t="s">
        <v>270</v>
      </c>
      <c r="H39" s="124"/>
    </row>
    <row r="40" ht="15.75" customHeight="1">
      <c r="H40" s="139"/>
      <c r="I40" s="139"/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0">
    <mergeCell ref="B30:C31"/>
    <mergeCell ref="B32:C32"/>
    <mergeCell ref="B33:C33"/>
    <mergeCell ref="B34:C34"/>
    <mergeCell ref="B35:C35"/>
    <mergeCell ref="B13:C13"/>
    <mergeCell ref="B16:C17"/>
    <mergeCell ref="B18:C18"/>
    <mergeCell ref="B21:C22"/>
    <mergeCell ref="B23:C23"/>
    <mergeCell ref="B24:C24"/>
    <mergeCell ref="B25:C25"/>
    <mergeCell ref="A1:H1"/>
    <mergeCell ref="A2:H2"/>
    <mergeCell ref="A3:H3"/>
    <mergeCell ref="A4:A5"/>
    <mergeCell ref="B4:C5"/>
    <mergeCell ref="D4:E5"/>
    <mergeCell ref="B6:C6"/>
    <mergeCell ref="D6:E6"/>
    <mergeCell ref="A7:F7"/>
    <mergeCell ref="A8:H8"/>
    <mergeCell ref="B9:C10"/>
    <mergeCell ref="D9:E9"/>
    <mergeCell ref="F9:F10"/>
    <mergeCell ref="D10:E10"/>
    <mergeCell ref="B11:C11"/>
    <mergeCell ref="D11:E11"/>
    <mergeCell ref="B12:C12"/>
    <mergeCell ref="D12:E12"/>
    <mergeCell ref="D13:E13"/>
    <mergeCell ref="A14:F14"/>
    <mergeCell ref="A15:H15"/>
    <mergeCell ref="D16:E16"/>
    <mergeCell ref="F16:F17"/>
    <mergeCell ref="D17:E17"/>
    <mergeCell ref="D18:E18"/>
    <mergeCell ref="A19:F19"/>
    <mergeCell ref="A20:H20"/>
    <mergeCell ref="F21:F22"/>
    <mergeCell ref="B26:C26"/>
    <mergeCell ref="B27:C27"/>
    <mergeCell ref="A28:F28"/>
    <mergeCell ref="A29:H29"/>
    <mergeCell ref="D21:E21"/>
    <mergeCell ref="D22:E22"/>
    <mergeCell ref="D23:E23"/>
    <mergeCell ref="D24:E24"/>
    <mergeCell ref="D25:E25"/>
    <mergeCell ref="D26:E26"/>
    <mergeCell ref="D27:E27"/>
    <mergeCell ref="B36:F36"/>
    <mergeCell ref="A37:G37"/>
    <mergeCell ref="D30:E30"/>
    <mergeCell ref="F30:F31"/>
    <mergeCell ref="D31:E31"/>
    <mergeCell ref="D32:E32"/>
    <mergeCell ref="D33:E33"/>
    <mergeCell ref="D34:E34"/>
    <mergeCell ref="D35:E35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3" max="3" width="26.86"/>
    <col customWidth="1" min="4" max="4" width="8.71"/>
    <col customWidth="1" min="5" max="5" width="8.0"/>
    <col customWidth="1" min="6" max="6" width="33.14"/>
    <col customWidth="1" min="7" max="7" width="18.0"/>
    <col customWidth="1" min="8" max="8" width="34.57"/>
    <col customWidth="1" min="9" max="9" width="13.86"/>
    <col customWidth="1" min="10" max="10" width="16.86"/>
    <col customWidth="1" min="11" max="11" width="15.86"/>
    <col customWidth="1" min="12" max="12" width="14.29"/>
    <col customWidth="1" hidden="1" min="13" max="13" width="27.86"/>
    <col customWidth="1" min="14" max="14" width="11.57"/>
    <col customWidth="1" min="15" max="26" width="8.0"/>
  </cols>
  <sheetData>
    <row r="1" ht="16.5" customHeight="1">
      <c r="A1" s="122" t="s">
        <v>28</v>
      </c>
      <c r="I1" s="123"/>
      <c r="J1" s="124"/>
      <c r="L1" s="124"/>
      <c r="M1" s="124"/>
      <c r="N1" s="124"/>
    </row>
    <row r="2" ht="15.75" customHeight="1">
      <c r="A2" s="125" t="s">
        <v>231</v>
      </c>
      <c r="I2" s="126"/>
      <c r="J2" s="124"/>
    </row>
    <row r="3" ht="15.75" customHeight="1">
      <c r="A3" s="127" t="s">
        <v>271</v>
      </c>
      <c r="B3" s="128"/>
      <c r="C3" s="128"/>
      <c r="D3" s="128"/>
      <c r="E3" s="128"/>
      <c r="F3" s="128"/>
      <c r="G3" s="128"/>
      <c r="H3" s="128"/>
      <c r="I3" s="123"/>
    </row>
    <row r="4" ht="15.75" customHeight="1">
      <c r="A4" s="129" t="s">
        <v>12</v>
      </c>
      <c r="B4" s="130" t="s">
        <v>200</v>
      </c>
      <c r="C4" s="131"/>
      <c r="D4" s="130" t="s">
        <v>233</v>
      </c>
      <c r="E4" s="131"/>
      <c r="F4" s="129" t="s">
        <v>234</v>
      </c>
      <c r="G4" s="133" t="s">
        <v>203</v>
      </c>
      <c r="H4" s="133" t="s">
        <v>235</v>
      </c>
      <c r="I4" s="126"/>
    </row>
    <row r="5" ht="16.5" customHeight="1">
      <c r="A5" s="134"/>
      <c r="B5" s="135"/>
      <c r="C5" s="136"/>
      <c r="D5" s="135"/>
      <c r="E5" s="136"/>
      <c r="F5" s="134"/>
      <c r="G5" s="138" t="s">
        <v>204</v>
      </c>
      <c r="H5" s="138"/>
      <c r="I5" s="126"/>
      <c r="J5" s="139"/>
    </row>
    <row r="6" ht="15.75" customHeight="1">
      <c r="A6" s="140" t="s">
        <v>236</v>
      </c>
      <c r="B6" s="141" t="s">
        <v>237</v>
      </c>
      <c r="C6" s="142"/>
      <c r="D6" s="143" t="s">
        <v>268</v>
      </c>
      <c r="E6" s="142"/>
      <c r="F6" s="144" t="str">
        <f>[3]COTAÇÃO!#REF!-'SALDO CONVENÇÃO ANTERIOR'!F6</f>
        <v>#ERROR!</v>
      </c>
      <c r="G6" s="145" t="str">
        <f>ROUND((F6*9),2)</f>
        <v>#ERROR!</v>
      </c>
      <c r="H6" s="146" t="str">
        <f>ROUND((G6*4),2)</f>
        <v>#ERROR!</v>
      </c>
      <c r="I6" s="123"/>
      <c r="J6" s="139"/>
      <c r="K6" s="139"/>
      <c r="L6" s="139"/>
      <c r="M6" s="139"/>
    </row>
    <row r="7" ht="16.5" customHeight="1">
      <c r="A7" s="147" t="s">
        <v>240</v>
      </c>
      <c r="B7" s="148"/>
      <c r="C7" s="148"/>
      <c r="D7" s="148"/>
      <c r="E7" s="148"/>
      <c r="F7" s="142"/>
      <c r="G7" s="149" t="str">
        <f t="shared" ref="G7:H7" si="1">G6</f>
        <v>#ERROR!</v>
      </c>
      <c r="H7" s="149" t="str">
        <f t="shared" si="1"/>
        <v>#ERROR!</v>
      </c>
      <c r="I7" s="181"/>
      <c r="J7" s="139"/>
      <c r="K7" s="139"/>
      <c r="L7" s="139"/>
      <c r="M7" s="139"/>
    </row>
    <row r="8" ht="16.5" customHeight="1">
      <c r="A8" s="150" t="s">
        <v>241</v>
      </c>
      <c r="B8" s="148"/>
      <c r="C8" s="148"/>
      <c r="D8" s="148"/>
      <c r="E8" s="148"/>
      <c r="F8" s="148"/>
      <c r="G8" s="148"/>
      <c r="H8" s="151"/>
      <c r="I8" s="123"/>
      <c r="J8" s="139"/>
    </row>
    <row r="9" ht="15.75" customHeight="1">
      <c r="A9" s="152" t="s">
        <v>12</v>
      </c>
      <c r="B9" s="130" t="s">
        <v>200</v>
      </c>
      <c r="C9" s="131"/>
      <c r="D9" s="153" t="s">
        <v>242</v>
      </c>
      <c r="E9" s="154"/>
      <c r="F9" s="129" t="s">
        <v>234</v>
      </c>
      <c r="G9" s="155" t="s">
        <v>203</v>
      </c>
      <c r="H9" s="133" t="s">
        <v>235</v>
      </c>
      <c r="I9" s="126"/>
    </row>
    <row r="10" ht="16.5" customHeight="1">
      <c r="A10" s="137"/>
      <c r="B10" s="135"/>
      <c r="C10" s="136"/>
      <c r="D10" s="157" t="s">
        <v>243</v>
      </c>
      <c r="E10" s="158"/>
      <c r="F10" s="134"/>
      <c r="G10" s="138" t="s">
        <v>204</v>
      </c>
      <c r="H10" s="138"/>
      <c r="I10" s="123"/>
      <c r="L10" s="139"/>
      <c r="M10" s="139"/>
      <c r="N10" s="159"/>
    </row>
    <row r="11" ht="15.75" customHeight="1">
      <c r="A11" s="160" t="s">
        <v>244</v>
      </c>
      <c r="B11" s="161" t="s">
        <v>245</v>
      </c>
      <c r="C11" s="142"/>
      <c r="D11" s="162">
        <f>26019.26-370.56+617.99+1105-137.7+600+1200</f>
        <v>29033.99</v>
      </c>
      <c r="E11" s="142"/>
      <c r="F11" s="189" t="str">
        <f>[3]COTAÇÃO!#REF!-'SALDO CONVENÇÃO ANTERIOR'!F11</f>
        <v>#ERROR!</v>
      </c>
      <c r="G11" s="145" t="str">
        <f t="shared" ref="G11:G13" si="2">ROUND((D11*F11),2)</f>
        <v>#ERROR!</v>
      </c>
      <c r="H11" s="164" t="str">
        <f>ROUND((G11*4),2)</f>
        <v>#ERROR!</v>
      </c>
      <c r="I11" s="126"/>
      <c r="J11" s="139"/>
      <c r="K11" s="165"/>
      <c r="L11" s="139"/>
      <c r="M11" s="139"/>
    </row>
    <row r="12" ht="15.75" customHeight="1">
      <c r="A12" s="166" t="s">
        <v>247</v>
      </c>
      <c r="B12" s="161" t="s">
        <v>248</v>
      </c>
      <c r="C12" s="142"/>
      <c r="D12" s="162">
        <f>9530.06-9530.06</f>
        <v>0</v>
      </c>
      <c r="E12" s="142"/>
      <c r="F12" s="189">
        <v>0.0</v>
      </c>
      <c r="G12" s="145">
        <f t="shared" si="2"/>
        <v>0</v>
      </c>
      <c r="H12" s="164">
        <f>ROUND((G12*12),2)</f>
        <v>0</v>
      </c>
      <c r="I12" s="123"/>
      <c r="J12" s="139"/>
      <c r="K12" s="165"/>
      <c r="L12" s="139"/>
      <c r="M12" s="139"/>
    </row>
    <row r="13" ht="15.75" customHeight="1">
      <c r="A13" s="166" t="s">
        <v>249</v>
      </c>
      <c r="B13" s="168" t="s">
        <v>250</v>
      </c>
      <c r="C13" s="142"/>
      <c r="D13" s="162">
        <v>2077.03</v>
      </c>
      <c r="E13" s="142"/>
      <c r="F13" s="189" t="str">
        <f>[3]COTAÇÃO!#REF!-'SALDO CONVENÇÃO ANTERIOR'!F13</f>
        <v>#ERROR!</v>
      </c>
      <c r="G13" s="145" t="str">
        <f t="shared" si="2"/>
        <v>#ERROR!</v>
      </c>
      <c r="H13" s="164" t="str">
        <f>ROUND((G13*4),2)</f>
        <v>#ERROR!</v>
      </c>
      <c r="I13" s="126"/>
      <c r="J13" s="139"/>
      <c r="K13" s="165"/>
      <c r="M13" s="139"/>
    </row>
    <row r="14" ht="16.5" customHeight="1">
      <c r="A14" s="147" t="s">
        <v>240</v>
      </c>
      <c r="B14" s="148"/>
      <c r="C14" s="148"/>
      <c r="D14" s="148"/>
      <c r="E14" s="148"/>
      <c r="F14" s="142"/>
      <c r="G14" s="169" t="str">
        <f t="shared" ref="G14:H14" si="3">ROUND((SUM(G11:G13)),2)</f>
        <v>#ERROR!</v>
      </c>
      <c r="H14" s="170" t="str">
        <f t="shared" si="3"/>
        <v>#ERROR!</v>
      </c>
      <c r="I14" s="126"/>
      <c r="J14" s="139"/>
    </row>
    <row r="15" ht="16.5" customHeight="1">
      <c r="A15" s="150" t="s">
        <v>251</v>
      </c>
      <c r="B15" s="148"/>
      <c r="C15" s="148"/>
      <c r="D15" s="148"/>
      <c r="E15" s="148"/>
      <c r="F15" s="148"/>
      <c r="G15" s="148"/>
      <c r="H15" s="151"/>
      <c r="I15" s="123"/>
      <c r="J15" s="139"/>
    </row>
    <row r="16" ht="15.75" customHeight="1">
      <c r="A16" s="132" t="s">
        <v>12</v>
      </c>
      <c r="B16" s="130" t="s">
        <v>200</v>
      </c>
      <c r="C16" s="131"/>
      <c r="D16" s="153" t="s">
        <v>242</v>
      </c>
      <c r="E16" s="154"/>
      <c r="F16" s="129" t="s">
        <v>234</v>
      </c>
      <c r="G16" s="133" t="s">
        <v>203</v>
      </c>
      <c r="H16" s="133" t="s">
        <v>235</v>
      </c>
      <c r="I16" s="126"/>
      <c r="J16" s="139"/>
    </row>
    <row r="17" ht="16.5" customHeight="1">
      <c r="A17" s="137"/>
      <c r="B17" s="135"/>
      <c r="C17" s="136"/>
      <c r="D17" s="157" t="s">
        <v>243</v>
      </c>
      <c r="E17" s="158"/>
      <c r="F17" s="134"/>
      <c r="G17" s="138" t="s">
        <v>204</v>
      </c>
      <c r="H17" s="138"/>
      <c r="I17" s="123"/>
      <c r="J17" s="139"/>
    </row>
    <row r="18" ht="15.75" customHeight="1">
      <c r="A18" s="160" t="s">
        <v>244</v>
      </c>
      <c r="B18" s="141" t="s">
        <v>245</v>
      </c>
      <c r="C18" s="142"/>
      <c r="D18" s="162">
        <v>370.56</v>
      </c>
      <c r="E18" s="142"/>
      <c r="F18" s="189" t="str">
        <f>F11</f>
        <v>#ERROR!</v>
      </c>
      <c r="G18" s="145" t="str">
        <f>ROUND((D18*F18),2)</f>
        <v>#ERROR!</v>
      </c>
      <c r="H18" s="164" t="str">
        <f>ROUND((G18*4),2)</f>
        <v>#ERROR!</v>
      </c>
      <c r="I18" s="126"/>
      <c r="J18" s="139"/>
      <c r="K18" s="165"/>
    </row>
    <row r="19" ht="16.5" customHeight="1">
      <c r="A19" s="147" t="s">
        <v>240</v>
      </c>
      <c r="B19" s="148"/>
      <c r="C19" s="148"/>
      <c r="D19" s="148"/>
      <c r="E19" s="148"/>
      <c r="F19" s="142"/>
      <c r="G19" s="171" t="str">
        <f t="shared" ref="G19:H19" si="4">ROUND((SUM(G18)),2)</f>
        <v>#ERROR!</v>
      </c>
      <c r="H19" s="171" t="str">
        <f t="shared" si="4"/>
        <v>#ERROR!</v>
      </c>
      <c r="I19" s="126"/>
      <c r="J19" s="139"/>
    </row>
    <row r="20" ht="16.5" customHeight="1">
      <c r="A20" s="150" t="s">
        <v>252</v>
      </c>
      <c r="B20" s="148"/>
      <c r="C20" s="148"/>
      <c r="D20" s="148"/>
      <c r="E20" s="148"/>
      <c r="F20" s="148"/>
      <c r="G20" s="148"/>
      <c r="H20" s="151"/>
      <c r="I20" s="123"/>
      <c r="J20" s="139"/>
    </row>
    <row r="21" ht="15.75" customHeight="1">
      <c r="A21" s="132" t="s">
        <v>12</v>
      </c>
      <c r="B21" s="130" t="s">
        <v>200</v>
      </c>
      <c r="C21" s="131"/>
      <c r="D21" s="153" t="s">
        <v>242</v>
      </c>
      <c r="E21" s="154"/>
      <c r="F21" s="129" t="s">
        <v>234</v>
      </c>
      <c r="G21" s="133" t="s">
        <v>203</v>
      </c>
      <c r="H21" s="133" t="s">
        <v>235</v>
      </c>
      <c r="I21" s="126"/>
      <c r="J21" s="139"/>
    </row>
    <row r="22" ht="16.5" customHeight="1">
      <c r="A22" s="137"/>
      <c r="B22" s="135"/>
      <c r="C22" s="136"/>
      <c r="D22" s="157" t="s">
        <v>243</v>
      </c>
      <c r="E22" s="158"/>
      <c r="F22" s="134"/>
      <c r="G22" s="138" t="s">
        <v>204</v>
      </c>
      <c r="H22" s="138"/>
      <c r="I22" s="123"/>
      <c r="J22" s="139"/>
    </row>
    <row r="23" ht="15.75" customHeight="1">
      <c r="A23" s="172" t="s">
        <v>253</v>
      </c>
      <c r="B23" s="141" t="s">
        <v>245</v>
      </c>
      <c r="C23" s="142"/>
      <c r="D23" s="162">
        <f>2881.34-224.09-257.82</f>
        <v>2399.43</v>
      </c>
      <c r="E23" s="142"/>
      <c r="F23" s="189" t="str">
        <f>F11</f>
        <v>#ERROR!</v>
      </c>
      <c r="G23" s="145" t="str">
        <f t="shared" ref="G23:G27" si="5">ROUND((D23*F23),2)</f>
        <v>#ERROR!</v>
      </c>
      <c r="H23" s="164" t="str">
        <f t="shared" ref="H23:H27" si="6">ROUND((G23*4),2)</f>
        <v>#ERROR!</v>
      </c>
      <c r="I23" s="126"/>
      <c r="J23" s="139" t="s">
        <v>272</v>
      </c>
      <c r="K23" s="165"/>
    </row>
    <row r="24" ht="15.75" customHeight="1">
      <c r="A24" s="172" t="s">
        <v>254</v>
      </c>
      <c r="B24" s="141" t="s">
        <v>248</v>
      </c>
      <c r="C24" s="142"/>
      <c r="D24" s="162">
        <f>2159.9-354.77-615.39</f>
        <v>1189.74</v>
      </c>
      <c r="E24" s="142"/>
      <c r="F24" s="189" t="str">
        <f>[3]COTAÇÃO!#REF!-'SALDO CONVENÇÃO ANTERIOR'!F24</f>
        <v>#ERROR!</v>
      </c>
      <c r="G24" s="145" t="str">
        <f t="shared" si="5"/>
        <v>#ERROR!</v>
      </c>
      <c r="H24" s="164" t="str">
        <f t="shared" si="6"/>
        <v>#ERROR!</v>
      </c>
      <c r="I24" s="123"/>
      <c r="J24" s="139"/>
      <c r="K24" s="165"/>
    </row>
    <row r="25" ht="15.75" customHeight="1">
      <c r="A25" s="172" t="s">
        <v>255</v>
      </c>
      <c r="B25" s="173" t="s">
        <v>250</v>
      </c>
      <c r="C25" s="142"/>
      <c r="D25" s="162">
        <f>744.67+958.29-29.32</f>
        <v>1673.64</v>
      </c>
      <c r="E25" s="142"/>
      <c r="F25" s="189" t="str">
        <f>F13</f>
        <v>#ERROR!</v>
      </c>
      <c r="G25" s="145" t="str">
        <f t="shared" si="5"/>
        <v>#ERROR!</v>
      </c>
      <c r="H25" s="164" t="str">
        <f t="shared" si="6"/>
        <v>#ERROR!</v>
      </c>
      <c r="I25" s="126"/>
      <c r="J25" s="139"/>
      <c r="K25" s="165"/>
      <c r="M25" s="139"/>
    </row>
    <row r="26" ht="15.75" customHeight="1">
      <c r="A26" s="172" t="s">
        <v>256</v>
      </c>
      <c r="B26" s="141" t="s">
        <v>257</v>
      </c>
      <c r="C26" s="142"/>
      <c r="D26" s="162">
        <f>5927.36+435.77</f>
        <v>6363.13</v>
      </c>
      <c r="E26" s="142"/>
      <c r="F26" s="189" t="str">
        <f>[3]COTAÇÃO!#REF!-'SALDO CONVENÇÃO ANTERIOR'!F26</f>
        <v>#ERROR!</v>
      </c>
      <c r="G26" s="145" t="str">
        <f t="shared" si="5"/>
        <v>#ERROR!</v>
      </c>
      <c r="H26" s="164" t="str">
        <f t="shared" si="6"/>
        <v>#ERROR!</v>
      </c>
      <c r="I26" s="126"/>
      <c r="J26" s="139"/>
      <c r="K26" s="165"/>
    </row>
    <row r="27" ht="15.75" customHeight="1">
      <c r="A27" s="172" t="s">
        <v>258</v>
      </c>
      <c r="B27" s="141" t="s">
        <v>259</v>
      </c>
      <c r="C27" s="142"/>
      <c r="D27" s="162">
        <f>2620.63+183.57</f>
        <v>2804.2</v>
      </c>
      <c r="E27" s="142"/>
      <c r="F27" s="189" t="str">
        <f>[3]COTAÇÃO!#REF!-'SALDO CONVENÇÃO ANTERIOR'!F27</f>
        <v>#ERROR!</v>
      </c>
      <c r="G27" s="145" t="str">
        <f t="shared" si="5"/>
        <v>#ERROR!</v>
      </c>
      <c r="H27" s="164" t="str">
        <f t="shared" si="6"/>
        <v>#ERROR!</v>
      </c>
      <c r="I27" s="123"/>
      <c r="J27" s="139"/>
      <c r="K27" s="165"/>
    </row>
    <row r="28" ht="16.5" customHeight="1">
      <c r="A28" s="147" t="s">
        <v>240</v>
      </c>
      <c r="B28" s="148"/>
      <c r="C28" s="148"/>
      <c r="D28" s="148"/>
      <c r="E28" s="148"/>
      <c r="F28" s="142"/>
      <c r="G28" s="171" t="str">
        <f t="shared" ref="G28:H28" si="7">ROUND((SUM(G23:G27)),2)</f>
        <v>#ERROR!</v>
      </c>
      <c r="H28" s="171" t="str">
        <f t="shared" si="7"/>
        <v>#ERROR!</v>
      </c>
      <c r="I28" s="126"/>
      <c r="J28" s="139"/>
    </row>
    <row r="29" ht="16.5" customHeight="1">
      <c r="A29" s="150" t="s">
        <v>260</v>
      </c>
      <c r="B29" s="148"/>
      <c r="C29" s="148"/>
      <c r="D29" s="148"/>
      <c r="E29" s="148"/>
      <c r="F29" s="148"/>
      <c r="G29" s="148"/>
      <c r="H29" s="151"/>
      <c r="I29" s="123"/>
      <c r="J29" s="139"/>
    </row>
    <row r="30" ht="15.75" customHeight="1">
      <c r="A30" s="174" t="s">
        <v>12</v>
      </c>
      <c r="B30" s="130" t="s">
        <v>200</v>
      </c>
      <c r="C30" s="131"/>
      <c r="D30" s="153" t="s">
        <v>242</v>
      </c>
      <c r="E30" s="154"/>
      <c r="F30" s="129" t="s">
        <v>234</v>
      </c>
      <c r="G30" s="155" t="s">
        <v>203</v>
      </c>
      <c r="H30" s="133" t="s">
        <v>235</v>
      </c>
      <c r="I30" s="126"/>
      <c r="J30" s="139"/>
      <c r="K30" s="139"/>
    </row>
    <row r="31" ht="16.5" customHeight="1">
      <c r="A31" s="175"/>
      <c r="B31" s="135"/>
      <c r="C31" s="136"/>
      <c r="D31" s="157" t="s">
        <v>243</v>
      </c>
      <c r="E31" s="158"/>
      <c r="F31" s="134"/>
      <c r="G31" s="138" t="s">
        <v>204</v>
      </c>
      <c r="H31" s="138"/>
      <c r="I31" s="126"/>
      <c r="J31" s="139"/>
      <c r="K31" s="139"/>
    </row>
    <row r="32" ht="15.75" customHeight="1">
      <c r="A32" s="166" t="s">
        <v>261</v>
      </c>
      <c r="B32" s="141" t="s">
        <v>262</v>
      </c>
      <c r="C32" s="142"/>
      <c r="D32" s="162">
        <f>58698.12+1100+542.32</f>
        <v>60340.44</v>
      </c>
      <c r="E32" s="142"/>
      <c r="F32" s="189" t="str">
        <f>[3]COTAÇÃO!#REF!-'SALDO CONVENÇÃO ANTERIOR'!F32</f>
        <v>#ERROR!</v>
      </c>
      <c r="G32" s="145" t="str">
        <f t="shared" ref="G32:G34" si="8">ROUND((D32*F32),2)</f>
        <v>#ERROR!</v>
      </c>
      <c r="H32" s="164" t="str">
        <f t="shared" ref="H32:H35" si="9">ROUND((G32*4),2)</f>
        <v>#ERROR!</v>
      </c>
      <c r="I32" s="123"/>
      <c r="J32" s="139"/>
      <c r="K32" s="165"/>
    </row>
    <row r="33" ht="15.75" customHeight="1">
      <c r="A33" s="166" t="s">
        <v>263</v>
      </c>
      <c r="B33" s="141" t="s">
        <v>264</v>
      </c>
      <c r="C33" s="142"/>
      <c r="D33" s="162">
        <f>32310.27-1615.99+1000+1615.99</f>
        <v>33310.27</v>
      </c>
      <c r="E33" s="142"/>
      <c r="F33" s="189" t="str">
        <f>[3]COTAÇÃO!#REF!-'SALDO CONVENÇÃO ANTERIOR'!F33</f>
        <v>#ERROR!</v>
      </c>
      <c r="G33" s="145" t="str">
        <f t="shared" si="8"/>
        <v>#ERROR!</v>
      </c>
      <c r="H33" s="164" t="str">
        <f t="shared" si="9"/>
        <v>#ERROR!</v>
      </c>
      <c r="I33" s="126"/>
      <c r="J33" s="139"/>
      <c r="K33" s="165"/>
    </row>
    <row r="34" ht="15.75" customHeight="1">
      <c r="A34" s="166" t="s">
        <v>265</v>
      </c>
      <c r="B34" s="173" t="s">
        <v>250</v>
      </c>
      <c r="C34" s="142"/>
      <c r="D34" s="162">
        <v>9331.53</v>
      </c>
      <c r="E34" s="142"/>
      <c r="F34" s="189" t="str">
        <f>F13</f>
        <v>#ERROR!</v>
      </c>
      <c r="G34" s="145" t="str">
        <f t="shared" si="8"/>
        <v>#ERROR!</v>
      </c>
      <c r="H34" s="164" t="str">
        <f t="shared" si="9"/>
        <v>#ERROR!</v>
      </c>
      <c r="I34" s="181"/>
      <c r="J34" s="139"/>
      <c r="K34" s="165"/>
    </row>
    <row r="35" ht="15.75" customHeight="1">
      <c r="A35" s="140" t="s">
        <v>236</v>
      </c>
      <c r="B35" s="141" t="s">
        <v>237</v>
      </c>
      <c r="C35" s="142"/>
      <c r="D35" s="143" t="s">
        <v>269</v>
      </c>
      <c r="E35" s="142"/>
      <c r="F35" s="144" t="str">
        <f>F6</f>
        <v>#ERROR!</v>
      </c>
      <c r="G35" s="145" t="str">
        <f>ROUND((F35*1),2)</f>
        <v>#ERROR!</v>
      </c>
      <c r="H35" s="164" t="str">
        <f t="shared" si="9"/>
        <v>#ERROR!</v>
      </c>
      <c r="I35" s="123"/>
      <c r="J35" s="139"/>
      <c r="K35" s="139"/>
      <c r="L35" s="139"/>
      <c r="M35" s="139"/>
    </row>
    <row r="36" ht="16.5" customHeight="1">
      <c r="A36" s="147" t="s">
        <v>240</v>
      </c>
      <c r="B36" s="148"/>
      <c r="C36" s="148"/>
      <c r="D36" s="148"/>
      <c r="E36" s="148"/>
      <c r="F36" s="142"/>
      <c r="G36" s="178" t="str">
        <f t="shared" ref="G36:H36" si="10">ROUND((SUM(G32:G35)),2)</f>
        <v>#ERROR!</v>
      </c>
      <c r="H36" s="178" t="str">
        <f t="shared" si="10"/>
        <v>#ERROR!</v>
      </c>
      <c r="I36" s="123"/>
      <c r="K36" s="165"/>
      <c r="M36" s="139"/>
    </row>
    <row r="37" ht="20.25" customHeight="1">
      <c r="A37" s="179" t="str">
        <f>ROUND((G7+G14+G28+G36+G19),2)</f>
        <v>#ERROR!</v>
      </c>
      <c r="B37" s="148"/>
      <c r="C37" s="148"/>
      <c r="D37" s="148"/>
      <c r="E37" s="148"/>
      <c r="F37" s="148"/>
      <c r="G37" s="142"/>
      <c r="H37" s="180" t="str">
        <f>ROUND((H7+H14+H19+H28+H36),2)</f>
        <v>#ERROR!</v>
      </c>
      <c r="I37" s="181"/>
      <c r="J37" s="182"/>
      <c r="K37" s="165"/>
      <c r="L37" s="183"/>
      <c r="M37" s="184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</row>
    <row r="38" ht="15.75" customHeight="1">
      <c r="H38" s="124"/>
      <c r="I38" s="139"/>
    </row>
    <row r="39" ht="15.75" customHeight="1">
      <c r="H39" s="124"/>
      <c r="I39" s="139"/>
    </row>
    <row r="40" ht="15.75" customHeight="1">
      <c r="H40" s="139"/>
    </row>
    <row r="41" ht="15.75" customHeight="1">
      <c r="H41" s="124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B30:C31"/>
    <mergeCell ref="B32:C32"/>
    <mergeCell ref="B33:C33"/>
    <mergeCell ref="B34:C34"/>
    <mergeCell ref="B35:C35"/>
    <mergeCell ref="B18:C18"/>
    <mergeCell ref="B21:C22"/>
    <mergeCell ref="B23:C23"/>
    <mergeCell ref="B24:C24"/>
    <mergeCell ref="B25:C25"/>
    <mergeCell ref="B26:C26"/>
    <mergeCell ref="B27:C27"/>
    <mergeCell ref="A1:H1"/>
    <mergeCell ref="A2:H2"/>
    <mergeCell ref="A3:H3"/>
    <mergeCell ref="A4:A5"/>
    <mergeCell ref="B4:C5"/>
    <mergeCell ref="D4:E5"/>
    <mergeCell ref="F4:F5"/>
    <mergeCell ref="B6:C6"/>
    <mergeCell ref="D6:E6"/>
    <mergeCell ref="A7:F7"/>
    <mergeCell ref="A8:H8"/>
    <mergeCell ref="D9:E9"/>
    <mergeCell ref="F9:F10"/>
    <mergeCell ref="D10:E10"/>
    <mergeCell ref="A14:F14"/>
    <mergeCell ref="A15:H15"/>
    <mergeCell ref="B9:C10"/>
    <mergeCell ref="B11:C11"/>
    <mergeCell ref="D11:E11"/>
    <mergeCell ref="B12:C12"/>
    <mergeCell ref="D12:E12"/>
    <mergeCell ref="B13:C13"/>
    <mergeCell ref="D13:E13"/>
    <mergeCell ref="B16:C17"/>
    <mergeCell ref="D16:E16"/>
    <mergeCell ref="F16:F17"/>
    <mergeCell ref="D17:E17"/>
    <mergeCell ref="D18:E18"/>
    <mergeCell ref="A19:F19"/>
    <mergeCell ref="A20:H20"/>
    <mergeCell ref="D21:E21"/>
    <mergeCell ref="F21:F22"/>
    <mergeCell ref="D22:E22"/>
    <mergeCell ref="D23:E23"/>
    <mergeCell ref="D24:E24"/>
    <mergeCell ref="D25:E25"/>
    <mergeCell ref="D26:E26"/>
    <mergeCell ref="D33:E33"/>
    <mergeCell ref="D34:E34"/>
    <mergeCell ref="D35:E35"/>
    <mergeCell ref="A36:F36"/>
    <mergeCell ref="A37:G37"/>
    <mergeCell ref="D27:E27"/>
    <mergeCell ref="A28:F28"/>
    <mergeCell ref="A29:H29"/>
    <mergeCell ref="D30:E30"/>
    <mergeCell ref="F30:F31"/>
    <mergeCell ref="D31:E31"/>
    <mergeCell ref="D32:E3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2021-01-11T13:59:43Z</dcterms:created>
  <dc:creator>Paulo Fernandes Cordeiro</dc:creator>
</cp:coreProperties>
</file>