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J:\Meu Drive\Google Drive\2026\PMS\PA - 083 - PE 083-2026 (TERCEIRIZADOS)\WORD\"/>
    </mc:Choice>
  </mc:AlternateContent>
  <xr:revisionPtr revIDLastSave="0" documentId="13_ncr:1_{EB7A4E8C-6AC1-47CC-97D8-26155DD3462B}" xr6:coauthVersionLast="47" xr6:coauthVersionMax="47" xr10:uidLastSave="{00000000-0000-0000-0000-000000000000}"/>
  <bookViews>
    <workbookView xWindow="-120" yWindow="-120" windowWidth="20730" windowHeight="11160" firstSheet="8" activeTab="12" xr2:uid="{00000000-000D-0000-FFFF-FFFF00000000}"/>
  </bookViews>
  <sheets>
    <sheet name="Resumo_Oficial" sheetId="1" r:id="rId1"/>
    <sheet name="PCFP_Sangao" sheetId="2" r:id="rId2"/>
    <sheet name="Tabela_SEA_2026" sheetId="3" r:id="rId3"/>
    <sheet name="Farol_PNCP_" sheetId="4" r:id="rId4"/>
    <sheet name="Matriz_Comparativa" sheetId="5" r:id="rId5"/>
    <sheet name="Memoria_Orcamento" sheetId="6" r:id="rId6"/>
    <sheet name="Metodologia" sheetId="7" r:id="rId7"/>
    <sheet name="Fontes_Links" sheetId="8" r:id="rId8"/>
    <sheet name="Inventario" sheetId="9" r:id="rId9"/>
    <sheet name="Parametros" sheetId="10" r:id="rId10"/>
    <sheet name="PCFP_Detalhada" sheetId="11" r:id="rId11"/>
    <sheet name="Ambientes" sheetId="12" r:id="rId12"/>
    <sheet name="Aviso_Trabalhado" sheetId="13" r:id="rId1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3" l="1"/>
  <c r="A20" i="13"/>
  <c r="B19" i="13"/>
  <c r="A19" i="13"/>
  <c r="B18" i="13"/>
  <c r="A18" i="13"/>
  <c r="B17" i="13"/>
  <c r="A17" i="13"/>
  <c r="B16" i="13"/>
  <c r="A16" i="13"/>
  <c r="B15" i="13"/>
  <c r="A15" i="13"/>
  <c r="B14" i="13"/>
  <c r="A14" i="13"/>
  <c r="B13" i="13"/>
  <c r="A13" i="13"/>
  <c r="E6" i="13"/>
  <c r="E5" i="13"/>
  <c r="I47" i="11"/>
  <c r="H47" i="11"/>
  <c r="G47" i="11"/>
  <c r="F47" i="11"/>
  <c r="E47" i="11"/>
  <c r="D47" i="11"/>
  <c r="C47" i="11"/>
  <c r="B47" i="11"/>
  <c r="I46" i="11"/>
  <c r="H46" i="11"/>
  <c r="G46" i="11"/>
  <c r="F46" i="11"/>
  <c r="E46" i="11"/>
  <c r="D46" i="11"/>
  <c r="C46" i="11"/>
  <c r="B46" i="11"/>
  <c r="I28" i="11"/>
  <c r="H28" i="11"/>
  <c r="G28" i="11"/>
  <c r="F28" i="11"/>
  <c r="E28" i="11"/>
  <c r="D28" i="11"/>
  <c r="C28" i="11"/>
  <c r="B28" i="11"/>
  <c r="I24" i="11"/>
  <c r="H24" i="11"/>
  <c r="G24" i="11"/>
  <c r="F24" i="11"/>
  <c r="E24" i="11"/>
  <c r="D24" i="11"/>
  <c r="C24" i="11"/>
  <c r="B24" i="11"/>
  <c r="I23" i="11"/>
  <c r="H23" i="11"/>
  <c r="G23" i="11"/>
  <c r="F23" i="11"/>
  <c r="E23" i="11"/>
  <c r="D23" i="11"/>
  <c r="C23" i="11"/>
  <c r="B23" i="11"/>
  <c r="I22" i="11"/>
  <c r="H22" i="11"/>
  <c r="G22" i="11"/>
  <c r="F22" i="11"/>
  <c r="E22" i="11"/>
  <c r="D22" i="11"/>
  <c r="C22" i="11"/>
  <c r="B22" i="11"/>
  <c r="I21" i="11"/>
  <c r="H21" i="11"/>
  <c r="G21" i="11"/>
  <c r="F21" i="11"/>
  <c r="E21" i="11"/>
  <c r="D21" i="11"/>
  <c r="C21" i="11"/>
  <c r="B21" i="11"/>
  <c r="H8" i="11"/>
  <c r="H9" i="11" s="1"/>
  <c r="G8" i="11"/>
  <c r="G9" i="11" s="1"/>
  <c r="D8" i="11"/>
  <c r="D9" i="11" s="1"/>
  <c r="C8" i="11"/>
  <c r="C9" i="11" s="1"/>
  <c r="B8" i="11"/>
  <c r="B9" i="11" s="1"/>
  <c r="B81" i="10"/>
  <c r="B80" i="10"/>
  <c r="B79" i="10"/>
  <c r="B75" i="10"/>
  <c r="C27" i="11" s="1"/>
  <c r="B73" i="10"/>
  <c r="B78" i="10" s="1"/>
  <c r="G27" i="11" s="1"/>
  <c r="B71" i="10"/>
  <c r="B72" i="10" s="1"/>
  <c r="B70" i="10"/>
  <c r="B68" i="10"/>
  <c r="B69" i="10" s="1"/>
  <c r="F11" i="6"/>
  <c r="B11" i="6"/>
  <c r="F10" i="6"/>
  <c r="B10" i="6"/>
  <c r="F9" i="6"/>
  <c r="B9" i="6"/>
  <c r="F8" i="6"/>
  <c r="B8" i="6"/>
  <c r="F7" i="6"/>
  <c r="B7" i="6"/>
  <c r="F6" i="6"/>
  <c r="B6" i="6"/>
  <c r="F5" i="6"/>
  <c r="B5" i="6"/>
  <c r="F4" i="6"/>
  <c r="B4" i="6"/>
  <c r="H13" i="5"/>
  <c r="G13" i="5"/>
  <c r="H12" i="5"/>
  <c r="G12" i="5"/>
  <c r="H10" i="5"/>
  <c r="G10" i="5"/>
  <c r="H6" i="4"/>
  <c r="E12" i="2"/>
  <c r="C11" i="6" s="1"/>
  <c r="E11" i="2"/>
  <c r="C10" i="6" s="1"/>
  <c r="E10" i="2"/>
  <c r="C9" i="6" s="1"/>
  <c r="E9" i="2"/>
  <c r="C8" i="6" s="1"/>
  <c r="E8" i="2"/>
  <c r="C7" i="6" s="1"/>
  <c r="E7" i="2"/>
  <c r="C6" i="6" s="1"/>
  <c r="E6" i="2"/>
  <c r="C5" i="6" s="1"/>
  <c r="E5" i="2"/>
  <c r="C4" i="6" s="1"/>
  <c r="C29" i="11" l="1"/>
  <c r="J6" i="2" s="1"/>
  <c r="F8" i="11"/>
  <c r="F9" i="11" s="1"/>
  <c r="F11" i="11" s="1"/>
  <c r="F12" i="11" s="1"/>
  <c r="B21" i="13"/>
  <c r="B76" i="10"/>
  <c r="E27" i="11" s="1"/>
  <c r="E29" i="11" s="1"/>
  <c r="B77" i="10"/>
  <c r="F27" i="11" s="1"/>
  <c r="F29" i="11" s="1"/>
  <c r="J9" i="2" s="1"/>
  <c r="B74" i="10"/>
  <c r="B27" i="11" s="1"/>
  <c r="B29" i="11" s="1"/>
  <c r="J5" i="2" s="1"/>
  <c r="G29" i="11"/>
  <c r="J10" i="2" s="1"/>
  <c r="E8" i="11"/>
  <c r="E9" i="11" s="1"/>
  <c r="E11" i="11" s="1"/>
  <c r="E12" i="11" s="1"/>
  <c r="I8" i="11"/>
  <c r="I9" i="11" s="1"/>
  <c r="C11" i="11"/>
  <c r="C12" i="11" s="1"/>
  <c r="C12" i="6"/>
  <c r="B11" i="11"/>
  <c r="B12" i="11" s="1"/>
  <c r="G11" i="11"/>
  <c r="G12" i="11" s="1"/>
  <c r="B6" i="1"/>
  <c r="D11" i="11"/>
  <c r="D12" i="11" s="1"/>
  <c r="H11" i="11"/>
  <c r="H12" i="11" s="1"/>
  <c r="C32" i="11"/>
  <c r="H27" i="11"/>
  <c r="H29" i="11" s="1"/>
  <c r="J11" i="2" s="1"/>
  <c r="I27" i="11"/>
  <c r="I29" i="11" s="1"/>
  <c r="J12" i="2" s="1"/>
  <c r="J8" i="2" l="1"/>
  <c r="E32" i="11"/>
  <c r="D27" i="11"/>
  <c r="D29" i="11" s="1"/>
  <c r="J7" i="2" s="1"/>
  <c r="G32" i="11"/>
  <c r="B32" i="11"/>
  <c r="F32" i="11"/>
  <c r="I11" i="11"/>
  <c r="I12" i="11" s="1"/>
  <c r="E18" i="11"/>
  <c r="C16" i="13"/>
  <c r="F8" i="2"/>
  <c r="D18" i="11"/>
  <c r="D14" i="11" s="1"/>
  <c r="D15" i="11" s="1"/>
  <c r="C15" i="13"/>
  <c r="F7" i="2"/>
  <c r="C13" i="13"/>
  <c r="B18" i="11"/>
  <c r="F5" i="2"/>
  <c r="C14" i="13"/>
  <c r="C18" i="11"/>
  <c r="C14" i="11" s="1"/>
  <c r="C15" i="11" s="1"/>
  <c r="F6" i="2"/>
  <c r="C18" i="13"/>
  <c r="F10" i="2"/>
  <c r="G18" i="11"/>
  <c r="G30" i="11" s="1"/>
  <c r="H32" i="11"/>
  <c r="C19" i="13"/>
  <c r="H18" i="11"/>
  <c r="H13" i="11" s="1"/>
  <c r="F11" i="2"/>
  <c r="F18" i="11"/>
  <c r="F43" i="11" s="1"/>
  <c r="C17" i="13"/>
  <c r="F9" i="2"/>
  <c r="I32" i="11"/>
  <c r="D32" i="11" l="1"/>
  <c r="C13" i="11"/>
  <c r="C16" i="11" s="1"/>
  <c r="C17" i="11" s="1"/>
  <c r="G41" i="11"/>
  <c r="G42" i="11" s="1"/>
  <c r="C43" i="11"/>
  <c r="C44" i="11" s="1"/>
  <c r="D41" i="11"/>
  <c r="D42" i="11" s="1"/>
  <c r="D43" i="11"/>
  <c r="D45" i="11" s="1"/>
  <c r="I18" i="11"/>
  <c r="I43" i="11" s="1"/>
  <c r="F12" i="2"/>
  <c r="C20" i="13"/>
  <c r="F14" i="11"/>
  <c r="F15" i="11" s="1"/>
  <c r="H14" i="11"/>
  <c r="H15" i="11" s="1"/>
  <c r="F41" i="11"/>
  <c r="F42" i="11" s="1"/>
  <c r="H30" i="11"/>
  <c r="H31" i="11" s="1"/>
  <c r="H41" i="11"/>
  <c r="H42" i="11" s="1"/>
  <c r="G14" i="11"/>
  <c r="G15" i="11" s="1"/>
  <c r="G31" i="11"/>
  <c r="B25" i="11"/>
  <c r="D13" i="13" s="1"/>
  <c r="E13" i="13" s="1"/>
  <c r="B19" i="11"/>
  <c r="F45" i="11"/>
  <c r="F44" i="11"/>
  <c r="B30" i="11"/>
  <c r="E25" i="11"/>
  <c r="D16" i="13" s="1"/>
  <c r="E16" i="13" s="1"/>
  <c r="E19" i="11"/>
  <c r="F13" i="11"/>
  <c r="H25" i="11"/>
  <c r="D19" i="13" s="1"/>
  <c r="E19" i="13" s="1"/>
  <c r="H19" i="11"/>
  <c r="D13" i="11"/>
  <c r="D16" i="11" s="1"/>
  <c r="E30" i="11"/>
  <c r="B41" i="11"/>
  <c r="C25" i="11"/>
  <c r="D14" i="13" s="1"/>
  <c r="E14" i="13" s="1"/>
  <c r="C19" i="11"/>
  <c r="B43" i="11"/>
  <c r="E41" i="11"/>
  <c r="F25" i="11"/>
  <c r="D17" i="13" s="1"/>
  <c r="E17" i="13" s="1"/>
  <c r="F19" i="11"/>
  <c r="G25" i="11"/>
  <c r="D18" i="13" s="1"/>
  <c r="E18" i="13" s="1"/>
  <c r="G19" i="11"/>
  <c r="G43" i="11"/>
  <c r="C30" i="11"/>
  <c r="B13" i="11"/>
  <c r="D25" i="11"/>
  <c r="D15" i="13" s="1"/>
  <c r="E15" i="13" s="1"/>
  <c r="D19" i="11"/>
  <c r="E43" i="11"/>
  <c r="F30" i="11"/>
  <c r="H43" i="11"/>
  <c r="B14" i="11"/>
  <c r="B15" i="11" s="1"/>
  <c r="D30" i="11"/>
  <c r="E13" i="11"/>
  <c r="G13" i="11"/>
  <c r="C41" i="11"/>
  <c r="E14" i="11"/>
  <c r="E15" i="11" s="1"/>
  <c r="H16" i="11" l="1"/>
  <c r="H49" i="11" s="1"/>
  <c r="H50" i="11" s="1"/>
  <c r="C45" i="11"/>
  <c r="C20" i="11"/>
  <c r="C26" i="11" s="1"/>
  <c r="I13" i="11"/>
  <c r="D44" i="11"/>
  <c r="D48" i="11" s="1"/>
  <c r="I45" i="11"/>
  <c r="I44" i="11"/>
  <c r="I14" i="11"/>
  <c r="I15" i="11" s="1"/>
  <c r="I19" i="11"/>
  <c r="I41" i="11"/>
  <c r="I42" i="11" s="1"/>
  <c r="I25" i="11"/>
  <c r="D20" i="13" s="1"/>
  <c r="E20" i="13" s="1"/>
  <c r="G20" i="13" s="1"/>
  <c r="I20" i="13" s="1"/>
  <c r="I30" i="11"/>
  <c r="I31" i="11" s="1"/>
  <c r="F16" i="11"/>
  <c r="F17" i="11" s="1"/>
  <c r="F20" i="11" s="1"/>
  <c r="F26" i="11" s="1"/>
  <c r="G16" i="11"/>
  <c r="G17" i="11" s="1"/>
  <c r="G20" i="11" s="1"/>
  <c r="G26" i="11" s="1"/>
  <c r="F48" i="11"/>
  <c r="G18" i="13"/>
  <c r="I18" i="13" s="1"/>
  <c r="F18" i="13"/>
  <c r="H18" i="13" s="1"/>
  <c r="F19" i="13"/>
  <c r="H19" i="13" s="1"/>
  <c r="G19" i="13"/>
  <c r="I19" i="13" s="1"/>
  <c r="C42" i="11"/>
  <c r="C31" i="11"/>
  <c r="G15" i="13"/>
  <c r="I15" i="13" s="1"/>
  <c r="F15" i="13"/>
  <c r="H15" i="13" s="1"/>
  <c r="E45" i="11"/>
  <c r="E44" i="11"/>
  <c r="G45" i="11"/>
  <c r="G44" i="11"/>
  <c r="B31" i="11"/>
  <c r="G17" i="13"/>
  <c r="I17" i="13" s="1"/>
  <c r="F17" i="13"/>
  <c r="H17" i="13" s="1"/>
  <c r="H17" i="11"/>
  <c r="H20" i="11" s="1"/>
  <c r="H26" i="11" s="1"/>
  <c r="H45" i="11"/>
  <c r="H44" i="11"/>
  <c r="G16" i="13"/>
  <c r="I16" i="13" s="1"/>
  <c r="F16" i="13"/>
  <c r="H16" i="13" s="1"/>
  <c r="E31" i="11"/>
  <c r="C49" i="11"/>
  <c r="C50" i="11" s="1"/>
  <c r="F31" i="11"/>
  <c r="D17" i="11"/>
  <c r="D20" i="11" s="1"/>
  <c r="D26" i="11" s="1"/>
  <c r="E42" i="11"/>
  <c r="B42" i="11"/>
  <c r="D49" i="11"/>
  <c r="D50" i="11" s="1"/>
  <c r="B45" i="11"/>
  <c r="B44" i="11"/>
  <c r="G14" i="13"/>
  <c r="I14" i="13" s="1"/>
  <c r="F14" i="13"/>
  <c r="H14" i="13" s="1"/>
  <c r="E16" i="11"/>
  <c r="G13" i="13"/>
  <c r="I13" i="13" s="1"/>
  <c r="F13" i="13"/>
  <c r="H13" i="13" s="1"/>
  <c r="D31" i="11"/>
  <c r="B16" i="11"/>
  <c r="I16" i="11" l="1"/>
  <c r="I17" i="11" s="1"/>
  <c r="I20" i="11" s="1"/>
  <c r="I26" i="11" s="1"/>
  <c r="G12" i="2" s="1"/>
  <c r="C48" i="11"/>
  <c r="C51" i="11" s="1"/>
  <c r="G6" i="2"/>
  <c r="C33" i="11"/>
  <c r="C38" i="11" s="1"/>
  <c r="F20" i="13"/>
  <c r="H20" i="13" s="1"/>
  <c r="H21" i="13" s="1"/>
  <c r="E48" i="11"/>
  <c r="B48" i="11"/>
  <c r="G49" i="11"/>
  <c r="G50" i="11" s="1"/>
  <c r="I48" i="11"/>
  <c r="H48" i="11"/>
  <c r="H51" i="11" s="1"/>
  <c r="H11" i="2" s="1"/>
  <c r="G48" i="11"/>
  <c r="F49" i="11"/>
  <c r="F50" i="11" s="1"/>
  <c r="F51" i="11" s="1"/>
  <c r="H9" i="2" s="1"/>
  <c r="G11" i="2"/>
  <c r="H33" i="11"/>
  <c r="G7" i="2"/>
  <c r="D33" i="11"/>
  <c r="G10" i="2"/>
  <c r="G33" i="11"/>
  <c r="I21" i="13"/>
  <c r="E17" i="11"/>
  <c r="E20" i="11" s="1"/>
  <c r="E26" i="11" s="1"/>
  <c r="E49" i="11"/>
  <c r="E50" i="11" s="1"/>
  <c r="G9" i="2"/>
  <c r="F33" i="11"/>
  <c r="B17" i="11"/>
  <c r="B20" i="11" s="1"/>
  <c r="B26" i="11" s="1"/>
  <c r="B49" i="11"/>
  <c r="B50" i="11" s="1"/>
  <c r="D51" i="11"/>
  <c r="H7" i="2" s="1"/>
  <c r="I49" i="11" l="1"/>
  <c r="I50" i="11" s="1"/>
  <c r="I51" i="11" s="1"/>
  <c r="H12" i="2" s="1"/>
  <c r="I33" i="11"/>
  <c r="I37" i="11" s="1"/>
  <c r="C34" i="11"/>
  <c r="C35" i="11"/>
  <c r="C36" i="11"/>
  <c r="C37" i="11"/>
  <c r="G51" i="11"/>
  <c r="H10" i="2" s="1"/>
  <c r="G8" i="2"/>
  <c r="E33" i="11"/>
  <c r="G5" i="2"/>
  <c r="B33" i="11"/>
  <c r="B51" i="11"/>
  <c r="H5" i="2" s="1"/>
  <c r="D38" i="11"/>
  <c r="D37" i="11"/>
  <c r="D36" i="11"/>
  <c r="D35" i="11"/>
  <c r="D34" i="11"/>
  <c r="F38" i="11"/>
  <c r="F37" i="11"/>
  <c r="F36" i="11"/>
  <c r="F35" i="11"/>
  <c r="F34" i="11"/>
  <c r="H38" i="11"/>
  <c r="H37" i="11"/>
  <c r="H36" i="11"/>
  <c r="H35" i="11"/>
  <c r="H34" i="11"/>
  <c r="H6" i="2"/>
  <c r="G38" i="11"/>
  <c r="G37" i="11"/>
  <c r="G36" i="11"/>
  <c r="G35" i="11"/>
  <c r="G34" i="11"/>
  <c r="E51" i="11"/>
  <c r="H8" i="2" s="1"/>
  <c r="I34" i="11" l="1"/>
  <c r="I36" i="11"/>
  <c r="I35" i="11"/>
  <c r="I38" i="11"/>
  <c r="C39" i="11"/>
  <c r="C40" i="11" s="1"/>
  <c r="I6" i="2" s="1"/>
  <c r="F39" i="11"/>
  <c r="F40" i="11" s="1"/>
  <c r="I9" i="2" s="1"/>
  <c r="H39" i="11"/>
  <c r="H40" i="11" s="1"/>
  <c r="I11" i="2" s="1"/>
  <c r="G39" i="11"/>
  <c r="G40" i="11" s="1"/>
  <c r="I10" i="2" s="1"/>
  <c r="B38" i="11"/>
  <c r="B37" i="11"/>
  <c r="B36" i="11"/>
  <c r="B35" i="11"/>
  <c r="B34" i="11"/>
  <c r="D39" i="11"/>
  <c r="D40" i="11" s="1"/>
  <c r="E38" i="11"/>
  <c r="E37" i="11"/>
  <c r="E36" i="11"/>
  <c r="E35" i="11"/>
  <c r="E34" i="11"/>
  <c r="I39" i="11" l="1"/>
  <c r="I40" i="11" s="1"/>
  <c r="I12" i="2" s="1"/>
  <c r="C52" i="11"/>
  <c r="C53" i="11" s="1"/>
  <c r="F52" i="11"/>
  <c r="F53" i="11" s="1"/>
  <c r="H52" i="11"/>
  <c r="H53" i="11" s="1"/>
  <c r="G52" i="11"/>
  <c r="G53" i="11" s="1"/>
  <c r="G54" i="11" s="1"/>
  <c r="E39" i="11"/>
  <c r="E40" i="11" s="1"/>
  <c r="I8" i="2" s="1"/>
  <c r="B39" i="11"/>
  <c r="B40" i="11" s="1"/>
  <c r="I5" i="2" s="1"/>
  <c r="I7" i="2"/>
  <c r="D52" i="11"/>
  <c r="I52" i="11" l="1"/>
  <c r="I53" i="11" s="1"/>
  <c r="E52" i="11"/>
  <c r="E53" i="11" s="1"/>
  <c r="B52" i="11"/>
  <c r="B53" i="11" s="1"/>
  <c r="B54" i="11" s="1"/>
  <c r="B55" i="11" s="1"/>
  <c r="B56" i="11" s="1"/>
  <c r="C54" i="11"/>
  <c r="C55" i="11" s="1"/>
  <c r="C56" i="11" s="1"/>
  <c r="F54" i="11"/>
  <c r="F55" i="11" s="1"/>
  <c r="F56" i="11" s="1"/>
  <c r="H54" i="11"/>
  <c r="D53" i="11"/>
  <c r="G55" i="11"/>
  <c r="G56" i="11" s="1"/>
  <c r="C58" i="11" l="1"/>
  <c r="C57" i="11"/>
  <c r="K6" i="2" s="1"/>
  <c r="F58" i="11"/>
  <c r="F57" i="11"/>
  <c r="K9" i="2" s="1"/>
  <c r="H55" i="11"/>
  <c r="H56" i="11" s="1"/>
  <c r="E54" i="11"/>
  <c r="E55" i="11" s="1"/>
  <c r="E56" i="11" s="1"/>
  <c r="G58" i="11"/>
  <c r="G57" i="11"/>
  <c r="K10" i="2" s="1"/>
  <c r="B58" i="11"/>
  <c r="B57" i="11"/>
  <c r="K5" i="2" s="1"/>
  <c r="I54" i="11"/>
  <c r="I55" i="11" s="1"/>
  <c r="I56" i="11" s="1"/>
  <c r="D54" i="11"/>
  <c r="D55" i="11" s="1"/>
  <c r="D56" i="11" s="1"/>
  <c r="E58" i="11" l="1"/>
  <c r="E57" i="11"/>
  <c r="K8" i="2" s="1"/>
  <c r="G59" i="11"/>
  <c r="D10" i="2"/>
  <c r="F59" i="11"/>
  <c r="D9" i="2"/>
  <c r="I58" i="11"/>
  <c r="I57" i="11"/>
  <c r="K12" i="2" s="1"/>
  <c r="C59" i="11"/>
  <c r="D6" i="2"/>
  <c r="H58" i="11"/>
  <c r="H57" i="11"/>
  <c r="K11" i="2" s="1"/>
  <c r="D58" i="11"/>
  <c r="D57" i="11"/>
  <c r="K7" i="2" s="1"/>
  <c r="B59" i="11"/>
  <c r="D5" i="2"/>
  <c r="E10" i="5" l="1"/>
  <c r="D8" i="6"/>
  <c r="E8" i="6" s="1"/>
  <c r="G8" i="6" s="1"/>
  <c r="M10" i="5"/>
  <c r="E16" i="1"/>
  <c r="G60" i="11"/>
  <c r="M10" i="2" s="1"/>
  <c r="G17" i="1" s="1"/>
  <c r="L10" i="2"/>
  <c r="F17" i="1" s="1"/>
  <c r="F60" i="11"/>
  <c r="M9" i="2" s="1"/>
  <c r="G16" i="1" s="1"/>
  <c r="L9" i="2"/>
  <c r="F16" i="1" s="1"/>
  <c r="C60" i="11"/>
  <c r="M6" i="2" s="1"/>
  <c r="G13" i="1" s="1"/>
  <c r="L6" i="2"/>
  <c r="F13" i="1" s="1"/>
  <c r="I59" i="11"/>
  <c r="D12" i="2"/>
  <c r="B60" i="11"/>
  <c r="M5" i="2" s="1"/>
  <c r="L5" i="2"/>
  <c r="H59" i="11"/>
  <c r="D11" i="2"/>
  <c r="M11" i="5"/>
  <c r="E17" i="1"/>
  <c r="D9" i="6"/>
  <c r="E9" i="6" s="1"/>
  <c r="G9" i="6" s="1"/>
  <c r="Q21" i="5"/>
  <c r="E11" i="5"/>
  <c r="E59" i="11"/>
  <c r="D8" i="2"/>
  <c r="D59" i="11"/>
  <c r="D7" i="2"/>
  <c r="Q17" i="5"/>
  <c r="E6" i="5"/>
  <c r="D4" i="6"/>
  <c r="E4" i="6" s="1"/>
  <c r="E12" i="1"/>
  <c r="M6" i="5"/>
  <c r="M7" i="5"/>
  <c r="D5" i="6"/>
  <c r="E5" i="6" s="1"/>
  <c r="G5" i="6" s="1"/>
  <c r="E7" i="5"/>
  <c r="E13" i="1"/>
  <c r="Q18" i="5"/>
  <c r="G12" i="1" l="1"/>
  <c r="H7" i="5"/>
  <c r="G7" i="5"/>
  <c r="E8" i="5"/>
  <c r="E14" i="1"/>
  <c r="D6" i="6"/>
  <c r="E6" i="6" s="1"/>
  <c r="G6" i="6" s="1"/>
  <c r="M8" i="5"/>
  <c r="Q19" i="5"/>
  <c r="D60" i="11"/>
  <c r="M7" i="2" s="1"/>
  <c r="G14" i="1" s="1"/>
  <c r="L7" i="2"/>
  <c r="F14" i="1" s="1"/>
  <c r="E12" i="5"/>
  <c r="D10" i="6"/>
  <c r="E10" i="6" s="1"/>
  <c r="G10" i="6" s="1"/>
  <c r="M12" i="5"/>
  <c r="E18" i="1"/>
  <c r="E60" i="11"/>
  <c r="M8" i="2" s="1"/>
  <c r="G15" i="1" s="1"/>
  <c r="L8" i="2"/>
  <c r="F15" i="1" s="1"/>
  <c r="H60" i="11"/>
  <c r="M11" i="2" s="1"/>
  <c r="G18" i="1" s="1"/>
  <c r="L11" i="2"/>
  <c r="F18" i="1" s="1"/>
  <c r="D11" i="6"/>
  <c r="E11" i="6" s="1"/>
  <c r="G11" i="6" s="1"/>
  <c r="M13" i="5"/>
  <c r="E13" i="5"/>
  <c r="E19" i="1"/>
  <c r="H11" i="5"/>
  <c r="G11" i="5"/>
  <c r="I60" i="11"/>
  <c r="M12" i="2" s="1"/>
  <c r="G19" i="1" s="1"/>
  <c r="L12" i="2"/>
  <c r="F19" i="1" s="1"/>
  <c r="G4" i="6"/>
  <c r="H6" i="5"/>
  <c r="G6" i="5"/>
  <c r="E15" i="1"/>
  <c r="M9" i="5"/>
  <c r="E9" i="5"/>
  <c r="Q20" i="5"/>
  <c r="D7" i="6"/>
  <c r="E7" i="6" s="1"/>
  <c r="G7" i="6" s="1"/>
  <c r="F12" i="1"/>
  <c r="B8" i="1" l="1"/>
  <c r="H9" i="5"/>
  <c r="G9" i="5"/>
  <c r="G12" i="6"/>
  <c r="H8" i="5"/>
  <c r="G8" i="5"/>
  <c r="B7" i="1"/>
  <c r="E12" i="6"/>
</calcChain>
</file>

<file path=xl/sharedStrings.xml><?xml version="1.0" encoding="utf-8"?>
<sst xmlns="http://schemas.openxmlformats.org/spreadsheetml/2006/main" count="1281" uniqueCount="811">
  <si>
    <t>MUNICÍPIO DE SANGÃO/SC — PESQUISA DE PREÇOS DE POSTOS TERCEIRIZADOS</t>
  </si>
  <si>
    <t>Data-base: 09/09/2026 | 8 itens | 145 postos máximos | 1.740 postos-mês em 12 meses</t>
  </si>
  <si>
    <t>INDICADOR</t>
  </si>
  <si>
    <t>RESULTADO</t>
  </si>
  <si>
    <t>CRITÉRIO FINAL DE FORMAÇÃO DO PREÇO</t>
  </si>
  <si>
    <t>Itens autônomos</t>
  </si>
  <si>
    <t>PCFP local por função e jornada, com bases convencionais, provisões por evento e fontes públicas. Cenário-base: API integral no primeiro ciclo; assiduidade conforme memória. Comparações externas contextuais; cenários alternativos segregados.</t>
  </si>
  <si>
    <t>Quantidade total de postos</t>
  </si>
  <si>
    <t>Valor mensal estimado</t>
  </si>
  <si>
    <t>Valor anual estimado</t>
  </si>
  <si>
    <t>QUADRO FINAL DE PREÇOS ADOTADOS</t>
  </si>
  <si>
    <t>Item</t>
  </si>
  <si>
    <t>Função</t>
  </si>
  <si>
    <t>Jornada</t>
  </si>
  <si>
    <t>Postos</t>
  </si>
  <si>
    <t>Preço adotado/posto</t>
  </si>
  <si>
    <t>Total mensal</t>
  </si>
  <si>
    <t>Total anual</t>
  </si>
  <si>
    <t>Síntese da validação</t>
  </si>
  <si>
    <t>Porteiro(a)</t>
  </si>
  <si>
    <t>40h</t>
  </si>
  <si>
    <t>PCFP por evento; referências externas qualificadas. Premissas e fontes no relatório.</t>
  </si>
  <si>
    <t>Cozinheiro(a)</t>
  </si>
  <si>
    <t>Auxiliar de Limpeza</t>
  </si>
  <si>
    <t>30h</t>
  </si>
  <si>
    <t>Agente de Apoio Escolar</t>
  </si>
  <si>
    <t>Apoio material não pedagógico. UEL/Tambaú: contexto, sem equivalência integral.</t>
  </si>
  <si>
    <t>Emissor de Documentos</t>
  </si>
  <si>
    <t>Apoio Administrativo</t>
  </si>
  <si>
    <t>20h</t>
  </si>
  <si>
    <t>PCFP ANALÍTICA — BASE LOCAL DE FORMAÇÃO DOS PREÇOS</t>
  </si>
  <si>
    <t>Fonte: Relatório Técnico de Composição Analítica de Custos e Formação de Preços — CCT paradigma SC000124/2026. Os preços desta aba são a base local adotada, sujeitos ao confronto externo registrado nas demais abas.</t>
  </si>
  <si>
    <t>Preço estimado/posto-mês</t>
  </si>
  <si>
    <t>M1 Remun.</t>
  </si>
  <si>
    <t>M2 Enc./Benef.</t>
  </si>
  <si>
    <t>M3 Rescisão</t>
  </si>
  <si>
    <t>M4 Reposição</t>
  </si>
  <si>
    <t>M5 Insumos</t>
  </si>
  <si>
    <t>CITL/Tributos*</t>
  </si>
  <si>
    <t>OBSERVAÇÃO METODOLÓGICA</t>
  </si>
  <si>
    <t>* CITL/Tributos</t>
  </si>
  <si>
    <t>CITL calculado: indiretos + lucro + tributos, ligado à memória. O preço final é arredondado; os módulos conservam precisão integral.</t>
  </si>
  <si>
    <t>Status</t>
  </si>
  <si>
    <t>Memória integrada à aprovação ordinária do orçamento; premissas e cenários no relatório e na PCFP detalhada.</t>
  </si>
  <si>
    <t>ESTADO DE SANTA CATARINA — TABELA DE VALORES DE REFERÊNCIA 2026</t>
  </si>
  <si>
    <t>Fonte oficial SEA/DGLC/GECON, atualizada em fevereiro/2026. Os preços são estimados a partir de PCFP da GECON, consideram CCT SEAC/SC, ISSQN de 5% e tarifa de ônibus de Florianópolis. Para Sangão, constituem benchmark oficial externo, não preço compulsório municipal.</t>
  </si>
  <si>
    <t>Grupo</t>
  </si>
  <si>
    <t>Posto SEA</t>
  </si>
  <si>
    <t>Código item</t>
  </si>
  <si>
    <t>Preço SEA 2026</t>
  </si>
  <si>
    <t>Correspondência Sangão</t>
  </si>
  <si>
    <t>Aderência</t>
  </si>
  <si>
    <t>URL/Fonte</t>
  </si>
  <si>
    <t>01-04</t>
  </si>
  <si>
    <t>PORTEIRO</t>
  </si>
  <si>
    <t>8h seg-sex</t>
  </si>
  <si>
    <t>500030005</t>
  </si>
  <si>
    <t>Porteiro(a) 40h</t>
  </si>
  <si>
    <t>https://dados.sc.gov.br/dataset/licitacoes-de-terceirizados</t>
  </si>
  <si>
    <t>01-07</t>
  </si>
  <si>
    <t>COZINHEIRO</t>
  </si>
  <si>
    <t>500070003</t>
  </si>
  <si>
    <t>Cozinheiro(a) 40h</t>
  </si>
  <si>
    <t>DIRETA</t>
  </si>
  <si>
    <t>01-01</t>
  </si>
  <si>
    <t>SERVENTE</t>
  </si>
  <si>
    <t>500000001</t>
  </si>
  <si>
    <t>Auxiliar de Limpeza 40h</t>
  </si>
  <si>
    <t>6h seg-sex</t>
  </si>
  <si>
    <t>500000002</t>
  </si>
  <si>
    <t>Auxiliar de Limpeza 30h</t>
  </si>
  <si>
    <t>01-25</t>
  </si>
  <si>
    <t>EMISSOR DE DOCUMENTOS</t>
  </si>
  <si>
    <t>502950003</t>
  </si>
  <si>
    <t>Emissor de Documentos 40h</t>
  </si>
  <si>
    <t>APOIO ADMINISTRATIVO I</t>
  </si>
  <si>
    <t>502950001</t>
  </si>
  <si>
    <t>Apoio Administrativo 40h/20h</t>
  </si>
  <si>
    <t>NÃO DIRETA — jornada diversa</t>
  </si>
  <si>
    <t>APOIO ADMINISTRATIVO II</t>
  </si>
  <si>
    <t>502950006</t>
  </si>
  <si>
    <t>Apoio Administrativo 40h</t>
  </si>
  <si>
    <t>NÃO DIRETA — nível funcional diverso</t>
  </si>
  <si>
    <t>PREMISSAS OFICIAIS DA TABELA</t>
  </si>
  <si>
    <t>Premissa</t>
  </si>
  <si>
    <t>Descrição</t>
  </si>
  <si>
    <t>Base trabalhista</t>
  </si>
  <si>
    <t>CCT do SEAC/SC; vigilância utiliza SINDESP/SC.</t>
  </si>
  <si>
    <t>Tributação/localidade</t>
  </si>
  <si>
    <t>ISSQN 5% e tarifa de ônibus de Florianópolis.</t>
  </si>
  <si>
    <t>Metodologia</t>
  </si>
  <si>
    <t>PCFP GECON conforme IN SEA nº 9/2024 e diretrizes da IN nº 5/2017.</t>
  </si>
  <si>
    <t>Posto/jornada ausente</t>
  </si>
  <si>
    <t>Exige análise específica e PCFP própria, com CBO, atividades, requisitos e piso/CCT de referência.</t>
  </si>
  <si>
    <t>REFERÊNCIAS PÚBLICAS MONETÁRIAS — FAROL TCE/SC, PNCP E FONTES OFICIAIS COMPLEMENTARES</t>
  </si>
  <si>
    <t>Somente referências com preço unitário recuperável ou preço total cuja natureza seja explicitamente conhecida. Preços de jornada diversa, procedimentos revogados, fontes fora de Santa Catarina e valores estimados são mantidos separados e não entram automaticamente em média/mediana.</t>
  </si>
  <si>
    <t>Ref.</t>
  </si>
  <si>
    <t>Função alvo</t>
  </si>
  <si>
    <t>Ente/Fonte</t>
  </si>
  <si>
    <t>Procedimento</t>
  </si>
  <si>
    <t>Data</t>
  </si>
  <si>
    <t>Jornada fonte</t>
  </si>
  <si>
    <t>Natureza do preço</t>
  </si>
  <si>
    <t>Preço unit. posto/mês</t>
  </si>
  <si>
    <t>Valor total/documental</t>
  </si>
  <si>
    <t>Uso estatístico</t>
  </si>
  <si>
    <t>Situação/ressalva</t>
  </si>
  <si>
    <t>URL</t>
  </si>
  <si>
    <t>SC01</t>
  </si>
  <si>
    <t>Ibiam/SC</t>
  </si>
  <si>
    <t>PE 89/2025</t>
  </si>
  <si>
    <t>19/01/2026</t>
  </si>
  <si>
    <t>Preço estimado por posto</t>
  </si>
  <si>
    <t>ALTA</t>
  </si>
  <si>
    <t>NÃO — confronto contextual</t>
  </si>
  <si>
    <t>ETP/TR individualizam 2 merendeiras 40h; preço estimado do órgão.</t>
  </si>
  <si>
    <t>https://api.virtual.tce.sc.gov.br/api-gateway/ms-esfinge-web/publico/getArquivoOnline?identificadorGed=YjBlYWE4NmQtNTZhNy00OWE5LWFhYTgtNmQ1NmE3ODlhOTkz</t>
  </si>
  <si>
    <t>SC02</t>
  </si>
  <si>
    <t>São José do Cedro/SC</t>
  </si>
  <si>
    <t>PCE 61/2026</t>
  </si>
  <si>
    <t>12/05/2026</t>
  </si>
  <si>
    <t>Preço estimado unitário — PNCP</t>
  </si>
  <si>
    <t>Merendeira 8h/40h, 120 pessoa/mês, CBO 5132-05; preço publicado no PNCP.</t>
  </si>
  <si>
    <t>https://pncp.gov.br/app/editais/83026781000110/2026/92</t>
  </si>
  <si>
    <t>SC03</t>
  </si>
  <si>
    <t>Serviços gerais de limpeza, 8h/40h, 288 pessoa/mês, CBO 5143-20.</t>
  </si>
  <si>
    <t>SC04</t>
  </si>
  <si>
    <t>ARIS/SC</t>
  </si>
  <si>
    <t>PE 001/2026</t>
  </si>
  <si>
    <t>06/03/2026</t>
  </si>
  <si>
    <t>8h/dia útil</t>
  </si>
  <si>
    <t>Preço homologado total</t>
  </si>
  <si>
    <t>MUITO ALTA</t>
  </si>
  <si>
    <t>1 posto; vencedor homologado. Conversão mensal depende de comprovação formal da vigência.</t>
  </si>
  <si>
    <t>https://www.portaldecompraspublicas.com.br/processos/SC/Agencia-Reguladora-Intermunicipal-de-Saneamento-Florianopolis-2612/PE-001-2026-2026-453343</t>
  </si>
  <si>
    <t>P01</t>
  </si>
  <si>
    <t>SEED/PR — PNCP</t>
  </si>
  <si>
    <t>Compra 17/2026</t>
  </si>
  <si>
    <t>27/04/2026</t>
  </si>
  <si>
    <t>Preço estimado do órgão</t>
  </si>
  <si>
    <t>ALTA FUNCIONAL</t>
  </si>
  <si>
    <t>Merendeira com acúmulo de cozinheira; fora de SC, usada apenas como complemento.</t>
  </si>
  <si>
    <t>https://pncp.gov.br/app/editais/76416965000121/2026/56</t>
  </si>
  <si>
    <t>P02</t>
  </si>
  <si>
    <t>Agente de Apoio Escolar 30h</t>
  </si>
  <si>
    <t>UEL/PR — PNCP</t>
  </si>
  <si>
    <t>Compra 606/2025</t>
  </si>
  <si>
    <t>07/04/2026</t>
  </si>
  <si>
    <t>Estimado — lote 1, item diurno</t>
  </si>
  <si>
    <t>CONTEXTUAL</t>
  </si>
  <si>
    <t>Apoio à acessibilidade/cuidado; escopo diferente do operacional de Sangão.</t>
  </si>
  <si>
    <t>https://pncp.gov.br/app/editais/78640489000153/2025/1341</t>
  </si>
  <si>
    <t>P03</t>
  </si>
  <si>
    <t>Estimado — lote 1, item noturno</t>
  </si>
  <si>
    <t>NÃO EQUIVALENTE</t>
  </si>
  <si>
    <t>Mesmo lote do item diurno; noturno excluído do confronto diurno.</t>
  </si>
  <si>
    <t>P04</t>
  </si>
  <si>
    <t>Tambaú/SP</t>
  </si>
  <si>
    <t>PE 01/2026</t>
  </si>
  <si>
    <t>2026</t>
  </si>
  <si>
    <t>Preço estimado no TR, p.22</t>
  </si>
  <si>
    <t>11 meses; supervisão separada e cuidado pessoal. ETP p.68 tem R$2.545,166, não usado.</t>
  </si>
  <si>
    <t>https://tambau.sp.gov.br/uploads/licitacao/PE01-2026ContratacaoEquipeApoioEducacao.pdf</t>
  </si>
  <si>
    <t>P05</t>
  </si>
  <si>
    <t>Estado do Paraná</t>
  </si>
  <si>
    <t>Repactuação PE 912/2020 — lote 05</t>
  </si>
  <si>
    <t>08/06/2026</t>
  </si>
  <si>
    <t>Preço repactuado</t>
  </si>
  <si>
    <t>Servente de limpeza 40h com insumos; fora de SC.</t>
  </si>
  <si>
    <t>https://www.administracao.pr.gov.br/sites/default/arquivos_restritos/files/documento/2026-06/aviso_34_202625.914.8073_dosrepactuacao_contratos_pe_912_2020_lote05pontual_1.pdf</t>
  </si>
  <si>
    <t>P06</t>
  </si>
  <si>
    <t>Servente de limpeza 40h com risco; mesmo aviso, item distinto.</t>
  </si>
  <si>
    <t>P07</t>
  </si>
  <si>
    <t>Servente de limpeza 30h com insumos/risco; fora de SC.</t>
  </si>
  <si>
    <t>P08</t>
  </si>
  <si>
    <t>Assistente Administrativo em unidade escolar, com uniforme/EPI.</t>
  </si>
  <si>
    <t>P09</t>
  </si>
  <si>
    <t>PE 1428/2021 — Lote 02 repact. 2026</t>
  </si>
  <si>
    <t>03/06/2026</t>
  </si>
  <si>
    <t>Assistente Administrativo I 40h.</t>
  </si>
  <si>
    <t>https://www.administracao.pr.gov.br/sites/default/arquivos_restritos/files/documento/2026-06/aviso_062_202625.935.3238repaccontratospe14282021lote02adserviadministradora.pdf</t>
  </si>
  <si>
    <t>P10</t>
  </si>
  <si>
    <t>PE 1428/2021 — Lote 06 repact. 2026</t>
  </si>
  <si>
    <t>25/05/2026</t>
  </si>
  <si>
    <t>PENDENTE DE CONFIRMAÇÃO</t>
  </si>
  <si>
    <t>EXCLUÍDO DO CONFRONTO</t>
  </si>
  <si>
    <t>Preço mantido como histórico da planilha recebida; item específico não confirmado, não fundamenta orçamento.</t>
  </si>
  <si>
    <t>https://www.administracao.pr.gov.br/sites/default/arquivos_restritos/files/documento/2026-05/aviso_43_202625.935.4048repaccontratospe14282021lote06plansul.pdf</t>
  </si>
  <si>
    <t>P11</t>
  </si>
  <si>
    <t>PE 1428/2021 — Lote 05 repact. 2026</t>
  </si>
  <si>
    <t>https://www.administracao.pr.gov.br/sites/default/arquivos_restritos/files/documento/2026-05/aviso_44_202625.935.3955repaccontratospe14282021lote05plansul.pdf</t>
  </si>
  <si>
    <t>P12</t>
  </si>
  <si>
    <t>Apoio Administrativo 20h</t>
  </si>
  <si>
    <t>Assistente Administrativo 20h; fora de SC por ausência de equivalente estadual.</t>
  </si>
  <si>
    <t>P13</t>
  </si>
  <si>
    <t>PE 1428/2021 — Lote 03 repact. 2026</t>
  </si>
  <si>
    <t>https://www.administracao.pr.gov.br/sites/default/arquivos_restritos/files/documento/2026-05/aviso_45_202625.935.3521repaccontratospe14282021lote03plansul.pdf</t>
  </si>
  <si>
    <t>MATRIZ SANGÃO × ESTADO DE SANTA CATARINA × FAROL/PNCP</t>
  </si>
  <si>
    <t>A matriz não mistura as três camadas em uma média única. A PCFP forma o custo local; a Tabela SEA/SC testa a coerência oficial dos postos equivalentes; Farol/PNCP testam preços públicos de mercado. O preço adotado somente se altera se houver inconsistência material demonstrada na PCFP ou evidência pública homogênea suficientemente robusta.</t>
  </si>
  <si>
    <t>PCFP Sangão</t>
  </si>
  <si>
    <t>SEA/SC 2026</t>
  </si>
  <si>
    <t>Δ PCFP x SEA</t>
  </si>
  <si>
    <t>Δ %</t>
  </si>
  <si>
    <t>Farol/PNCP — principal</t>
  </si>
  <si>
    <t>Faixa mercado pública</t>
  </si>
  <si>
    <t>Estatística</t>
  </si>
  <si>
    <t>Diagnóstico</t>
  </si>
  <si>
    <t>Preço adotado</t>
  </si>
  <si>
    <t>Sem preço unitário atual estritamente homogêneo no Farol</t>
  </si>
  <si>
    <t>—</t>
  </si>
  <si>
    <t>Não aplicada</t>
  </si>
  <si>
    <t>Composição local. Fontes externas não formam amostra homogênea.</t>
  </si>
  <si>
    <t>ADOTAR PCFP</t>
  </si>
  <si>
    <t>Ibiam/SC R$ 3.862,79; São José do Cedro/SC R$ 3.962,60; SEED/PR R$ 5.120,80</t>
  </si>
  <si>
    <t>R$ 3.862,79 a R$ 5.120,80</t>
  </si>
  <si>
    <t>São José do Cedro/SC R$ 4.247,22; PR 2026 R$ 4.453,64 e R$ 4.526,41; ARIS homologado total R$ 53.340,00</t>
  </si>
  <si>
    <t>R$ 4.247,22 a R$ 4.526,41</t>
  </si>
  <si>
    <t>PR 2026 Servente 30h R$ 3.759,61</t>
  </si>
  <si>
    <t>R$ 3.759,61</t>
  </si>
  <si>
    <t>Tambaú/TR R$2.513,51; UEL/diurno R$5.951,58 — serviços de cuidado/acessibilidade.</t>
  </si>
  <si>
    <t>Sem faixa homogênea</t>
  </si>
  <si>
    <t>SEED R$5.606,64; PR/lote 02 R$5.956,67. Demais lotes não confirmados excluídos.</t>
  </si>
  <si>
    <t>SEED/PR Assistente Administrativo 20h R$ 3.475,62</t>
  </si>
  <si>
    <t>R$ 3.475,62</t>
  </si>
  <si>
    <t>Aux. Limpeza 40h</t>
  </si>
  <si>
    <t>Aux. Limpeza 30h</t>
  </si>
  <si>
    <t>Emissor Documentos</t>
  </si>
  <si>
    <t>Sem média ou mediana: fontes com diferenças materiais. A posição em faixa de preços não valida a composição.</t>
  </si>
  <si>
    <t>MEMÓRIA DE CÁLCULO DO ORÇAMENTO — PREÇOS ADOTADOS</t>
  </si>
  <si>
    <t>Função/jornada</t>
  </si>
  <si>
    <t>Preço posto/mês</t>
  </si>
  <si>
    <t>Meses</t>
  </si>
  <si>
    <t>Critério</t>
  </si>
  <si>
    <t>PCFP analítica; confronto contextual</t>
  </si>
  <si>
    <t>TOTAL</t>
  </si>
  <si>
    <t>REGRA DE ADOÇÃO</t>
  </si>
  <si>
    <t>O orçamento final adota os preços unitários derivados da PCFP analítica, publicados com duas casas decimais. Para cada função: preço unitário × quantidade = total mensal; total mensal × 12 = total anual. A Tabela SEA/SC 2026 e os preços públicos funcionam como testes independentes de razoabilidade, sem serem promediados com a PCFP.</t>
  </si>
  <si>
    <t>METODOLOGIA JURÍDICO-ECONÔMICA DA PESQUISA</t>
  </si>
  <si>
    <t>Camada</t>
  </si>
  <si>
    <t>Fonte</t>
  </si>
  <si>
    <t>Papel na pesquisa</t>
  </si>
  <si>
    <t>Regra de comparabilidade</t>
  </si>
  <si>
    <t>Tratamento</t>
  </si>
  <si>
    <t>Resultado</t>
  </si>
  <si>
    <t>PCFP Sangão / CCT paradigma SC000124/2026</t>
  </si>
  <si>
    <t>Formar o preço local completo</t>
  </si>
  <si>
    <t>Função e jornada exatas; módulos integralmente rastreáveis</t>
  </si>
  <si>
    <t>Base do orçamento</t>
  </si>
  <si>
    <t>Preço analítico por posto</t>
  </si>
  <si>
    <t>Tabela SEA/SC 2026</t>
  </si>
  <si>
    <t>Benchmark oficial estadual</t>
  </si>
  <si>
    <t>Somente identidade direta ou alta entre posto/jornada/atribuições</t>
  </si>
  <si>
    <t>Não promediar com PCFP</t>
  </si>
  <si>
    <t>Teste oficial de coerência</t>
  </si>
  <si>
    <t>Farol TCE/SC</t>
  </si>
  <si>
    <t>Preços e processos catarinenses</t>
  </si>
  <si>
    <t>Priorizar preço unitário homologado/contratado; distinguir estimado/global</t>
  </si>
  <si>
    <t>Excluir revogados e globais sem denominador do núcleo estatístico</t>
  </si>
  <si>
    <t>Confronto contextual</t>
  </si>
  <si>
    <t>PNCP / fontes oficiais externas</t>
  </si>
  <si>
    <t>Suprir lacuna após insuficiência em SC</t>
  </si>
  <si>
    <t>Mesma função e jornada; registrar geografia/CCT/insumos</t>
  </si>
  <si>
    <t>Uso subsidiário</t>
  </si>
  <si>
    <t>Tratamento estatístico</t>
  </si>
  <si>
    <t>Somente amostras materialmente homogêneas</t>
  </si>
  <si>
    <t>Não duplicar lotes do mesmo processo como contratações independentes</t>
  </si>
  <si>
    <t>Não foram calculadas médias/medianas</t>
  </si>
  <si>
    <t>Sem amostra homogênea</t>
  </si>
  <si>
    <t>REGRA</t>
  </si>
  <si>
    <t>APLICAÇÃO</t>
  </si>
  <si>
    <t>Janela temporal</t>
  </si>
  <si>
    <t>10/09/2025 a 09/09/2026. Fontes antigas ou contratos antigos repactuados: subsidiários, identificados.</t>
  </si>
  <si>
    <t>Preço estimado x homologado x contratado</t>
  </si>
  <si>
    <t>Devem ser registrados separadamente; um não é presumido como equivalente ao outro.</t>
  </si>
  <si>
    <t>Valor global</t>
  </si>
  <si>
    <t>Só pode ser unitizado quando documento fornece denominadores inequívocos (postos, meses, jornada).</t>
  </si>
  <si>
    <t>Jornada diversa</t>
  </si>
  <si>
    <t>Não aplicar regra de três automática entre 20h, 30h, 40h ou 44h.</t>
  </si>
  <si>
    <t>SEA/SC</t>
  </si>
  <si>
    <t>Benchmark oficial de primeira grandeza; não preço compulsório municipal.</t>
  </si>
  <si>
    <t>Preço final</t>
  </si>
  <si>
    <t>PCFP local por evento, conforme condições de execução do TR. Aprovação pela tramitação ordinária; programas ocupacionais e definição dos acionamentos na fase própria.</t>
  </si>
  <si>
    <t>FONTES E LINKS DE RASTREABILIDADE</t>
  </si>
  <si>
    <t>Finalidade</t>
  </si>
  <si>
    <t>Data-base/consulta</t>
  </si>
  <si>
    <t>URL / identificação</t>
  </si>
  <si>
    <t>Benchmark oficial estadual de postos terceirizados</t>
  </si>
  <si>
    <t>26/08/2026</t>
  </si>
  <si>
    <t>Farol TCE/SC — Licitações</t>
  </si>
  <si>
    <t>Pesquisa e exportação de contratações catarinenses</t>
  </si>
  <si>
    <t>https://paineistransparencia.tce.sc.gov.br/extensions/AppLicitacoesExterno/index.html</t>
  </si>
  <si>
    <t>Farol TCE/SC — Preços</t>
  </si>
  <si>
    <t>Consulta complementar</t>
  </si>
  <si>
    <t>https://paineistransparencia.tce.sc.gov.br/extensions/PainelDePrecos/index.html</t>
  </si>
  <si>
    <t>F01 Ipira</t>
  </si>
  <si>
    <t>Documento Farol/TCE</t>
  </si>
  <si>
    <t>https://api.virtual.tce.sc.gov.br/api-gateway/ms-esfinge-web/publico/getArquivoOnline?identificadorGed=NzA0NjVjY2EtNjY4Zi00NmYxLTg2NWMtY2E2NjhmOTZmMTQ0</t>
  </si>
  <si>
    <t>F02 Indaial</t>
  </si>
  <si>
    <t>https://api.virtual.tce.sc.gov.br/api-gateway/ms-esfinge-web/publico/getArquivoOnline?identificadorGed=YjU2OTAyMmYtNDk0Zi00YzAzLWE5MDItMmY0OTRmYmMwM2Jh</t>
  </si>
  <si>
    <t>F03 Correia Pinto</t>
  </si>
  <si>
    <t>Documento Farol/TCE — procedimento revogado</t>
  </si>
  <si>
    <t>https://api.virtual.tce.sc.gov.br/api-gateway/ms-esfinge-web/publico/getArquivoOnline?identificadorGed=NmViOGUxYTgtNTQ1YS00ZmE4LWI4ZTEtYTg1NDVhMWZhOGYz</t>
  </si>
  <si>
    <t>F04 Ibiam</t>
  </si>
  <si>
    <t>ARIS PE 001/2026</t>
  </si>
  <si>
    <t>Resultado homologado e histórico de diligências</t>
  </si>
  <si>
    <t>PNCP — SEED/PR 17/2026</t>
  </si>
  <si>
    <t>Merendeira 40h e Assistente Administrativo 20h/40h</t>
  </si>
  <si>
    <t>PNCP — UEL 606/2025</t>
  </si>
  <si>
    <t>Profissional de Apoio Escolar 30h</t>
  </si>
  <si>
    <t>Tambaú/SP PE 01/2026</t>
  </si>
  <si>
    <t>Profissional de Apoio Escolar 30h — referência subsidiária</t>
  </si>
  <si>
    <t>Paraná — aviso repactuação limpeza</t>
  </si>
  <si>
    <t>Servente 30h/40h 2026</t>
  </si>
  <si>
    <t>Paraná — apoio administrativo Lote 02</t>
  </si>
  <si>
    <t>Assistente Administrativo 40h — 2026</t>
  </si>
  <si>
    <t>Lei nº 14.133/2021</t>
  </si>
  <si>
    <t>Art. 23 — orçamento estimado</t>
  </si>
  <si>
    <t>https://www.planalto.gov.br/ccivil_03/_ato2019-2022/2021/lei/l14133.htm</t>
  </si>
  <si>
    <t>IN SEGES/ME nº 65/2021</t>
  </si>
  <si>
    <t>Referência metodológica subsidiária</t>
  </si>
  <si>
    <t>https://www.gov.br/compras/pt-br/acesso-a-informacao/legislacao/instrucoes-normativas/instrucao-normativa-seges-me-no-65-de-7-de-julho-de-2021</t>
  </si>
  <si>
    <t>PNCP — São José do Cedro PCE 61/2026</t>
  </si>
  <si>
    <t>Merendeira 40h e Serviços Gerais 40h — referências catarinenses</t>
  </si>
  <si>
    <t>Portal Compras SC — Emissor de Documentos</t>
  </si>
  <si>
    <t>Confirma nomenclatura/código e contratação estadual do posto</t>
  </si>
  <si>
    <t>https://e-lic.sc.gov.br/</t>
  </si>
  <si>
    <t>F101 — CCT SC000124/2026</t>
  </si>
  <si>
    <t>Instrumento coletivo; registro e cláusulas 3, 11 a 16 e 40.</t>
  </si>
  <si>
    <t>09/09/2026</t>
  </si>
  <si>
    <t>https://www3.mte.gov.br/sistemas/mediador/ConsultarInstColetivo</t>
  </si>
  <si>
    <t>F102 — SEA/SC — tabela 2026</t>
  </si>
  <si>
    <t>Fevereiro/2026; comparação contextual por função e jornada.</t>
  </si>
  <si>
    <t>F110 — MEC — Esclarecimento 5/2026</t>
  </si>
  <si>
    <t>Resposta 01, pp. 2–3: arquitetura de férias e substituição.</t>
  </si>
  <si>
    <t>https://www.gov.br/mec/pt-br/licitacoes/2026/arquivos/esclarecimento-5.pdf</t>
  </si>
  <si>
    <t>F111 — SUDECO — Edital 13/2025</t>
  </si>
  <si>
    <t>p. 69: fatores de ausências utilizados como estimativas por evento.</t>
  </si>
  <si>
    <t>https://www.gov.br/sudeco/pt-br/acesso-a-informacao/licitacoes-e-contratos/Edital13_2025.pdf/@@display-file/file</t>
  </si>
  <si>
    <t>F112 — Painel/SC — composição de custos</t>
  </si>
  <si>
    <t>Março/2026, p. 5: seguro R$ 12,33 por empregado/mês.</t>
  </si>
  <si>
    <t>https://painel.sc.gov.br/uploads/sites/331/2026/03/PLANILHA-DE-COMPOSICAO-DE-CUSTOS.pdf</t>
  </si>
  <si>
    <t>F113 — Mafra/SC — PE 53/2025, proc. 178</t>
  </si>
  <si>
    <t>p. 14: camiseta R$ 37,92; calça R$ 70,27. Valores estimados.</t>
  </si>
  <si>
    <t>https://mafra.sc.gov.br/uploads/sites/372/2025/12/Edital-Pregao-Eletronico-Registro-Preco-n%C2%B0-053.2025-PROC-178.2025-Aquisicao-de-uniformes-destinados-aos-colaboradores-da-Prefeitura-de-Mafra-Sec.-Obras.pdf</t>
  </si>
  <si>
    <t>F114 — Águas de Chapecó/SC — TR 20/2025</t>
  </si>
  <si>
    <t>p. 2: jaqueta R$ 277,50; p. 14: cozinha, camisa 45,00, calça 92,00, avental 67,50 e touca 32,50. Unitários impressos.</t>
  </si>
  <si>
    <t>https://aguasdechapeco.sc.gov.br/uploads/sites/347/2025/09/20-2025-TR-Uniformes-Secretarias.pdf</t>
  </si>
  <si>
    <t>F115 — SAMAE São Ludgero — DE 49/2025</t>
  </si>
  <si>
    <t>p. 9: calçado R$ 87,25/par. Valor estimado.</t>
  </si>
  <si>
    <t>https://samaesl.sc.gov.br/uploads/7_-_aviso_de_de_49-25_-_botinas_de_seguranca_assinado.pdf</t>
  </si>
  <si>
    <t>F116 — Araranguá/SC — PE 26/2026</t>
  </si>
  <si>
    <t>p. 24: avaliação clínica ocupacional R$ 33,00/unidade.</t>
  </si>
  <si>
    <t>https://ararangua.sc.gov.br/uploads/sites/281/2026/03/Edital-de-licitacao-n-262026-Medicina-e-Seguranca-do-trabalho.pdf</t>
  </si>
  <si>
    <t>F117 — CISAM — Vencedores, 24/02/2026</t>
  </si>
  <si>
    <t>pp. 4, 5, 8, 10 e 18: luva nitrílica 7,30; térmica 148,90; colete 16,50; impermeável 10,00; óculos 12,37; bota PVC 43,70. Preços unitários.</t>
  </si>
  <si>
    <t>https://cisam.sc.gov.br/uploads/sites/680/2026/03/Vencedores.pdf</t>
  </si>
  <si>
    <t>F118 — TST — Tema 255</t>
  </si>
  <si>
    <t>Base da multa de FGTS: desconsiderar projeção do aviso indenizado.</t>
  </si>
  <si>
    <t>https://www.tst.jus.br/nugep-sp/recursos-repetitivos/precedentes-vinculantes</t>
  </si>
  <si>
    <t>F119 — MGI — FGTS</t>
  </si>
  <si>
    <t>Extinção da contribuição adicional de 10%.</t>
  </si>
  <si>
    <t>https://www.gov.br/compras/pt-br/agente-publico/orientacoes-e-procedimentos/26-extincao-da-contribuicao-social-de-10-sobre-o-fgts-e-os-contratos-administrativos</t>
  </si>
  <si>
    <t>F120 — Receita Federal — jurisprudência vinculante</t>
  </si>
  <si>
    <t>API: não incidência previdenciária; 13º correspondente tem incidência.</t>
  </si>
  <si>
    <t>https://www.gov.br/receitafederal/pt-br/acesso-a-informacao/legislacao/jurisprudencia-vinculante/contribuicoes-previdenciarias</t>
  </si>
  <si>
    <t>F121 — Lei 14.133/2021</t>
  </si>
  <si>
    <t>Planejamento, pesquisa, SRP, julgamento e repactuação.</t>
  </si>
  <si>
    <t>F122 — NR-7 — Ministério do Trabalho</t>
  </si>
  <si>
    <t>PCMSO e exames definidos pelo risco; reserva de três avaliações não fixa periodicidade médica.</t>
  </si>
  <si>
    <t>https://www.gov.br/trabalho-e-emprego/pt-br/acesso-a-informacao/participacao-social/conselhos-e-orgaos-colegiados/comissao-tripartite-partitaria-permanente/arquivos/normas-regulamentadoras/nr-07-atualizada-2022-1.pdf</t>
  </si>
  <si>
    <t>F123 — ISS — Sangão</t>
  </si>
  <si>
    <t>LC 68/2017 informada; ata municipal confirma subitem 17.05 e ISS 5%.</t>
  </si>
  <si>
    <t>14/09/2026</t>
  </si>
  <si>
    <t>https://sangao.sc.gov.br/uploads/sites/342/2025/07/13-AtaTotal_403269.pdf</t>
  </si>
  <si>
    <t>F124 — RFB — SC Cosit 91/2026</t>
  </si>
  <si>
    <t>Ementa oficial vinculada à SC Cosit 10/2026: liberalidade e desempenho superior para exclusão previdenciária.</t>
  </si>
  <si>
    <t>https://normasinternet2.receita.fazenda.gov.br/#/consulta/externa/151978</t>
  </si>
  <si>
    <t>F125 — Lei 7.418/1985</t>
  </si>
  <si>
    <t>Hipóteses de vale-transporte, inclusive serviço intermunicipal elegível.</t>
  </si>
  <si>
    <t>https://www.planalto.gov.br/ccivil_03/leis/l7418.htm</t>
  </si>
  <si>
    <t>F126</t>
  </si>
  <si>
    <t>CLT: art. 457 §§ 2º/4º e art. 611-A.</t>
  </si>
  <si>
    <t>https://www.planalto.gov.br/ccivil_03/decreto-lei/del5452.htm</t>
  </si>
  <si>
    <t>F127</t>
  </si>
  <si>
    <t>Lei 8.212/1991: arts. 22 e 28.</t>
  </si>
  <si>
    <t>https://www.planalto.gov.br/ccivil_03/leis/l8212cons.htm</t>
  </si>
  <si>
    <t>F128</t>
  </si>
  <si>
    <t>NR-6: seleção, CA, fornecimento, manutenção e reposição.</t>
  </si>
  <si>
    <t>https://www.gov.br/trabalho-e-emprego/pt-br/acesso-a-informacao/participacao-social/conselhos-e-orgaos-colegiados/comissao-tripartite-partitaria-permanente/normas-regulamentadora/normas-regulamentadoras-vigentes/nr-06-atualizada-2025-ii.pdf</t>
  </si>
  <si>
    <t>F129</t>
  </si>
  <si>
    <t>NR-1: item 1.5.8, intercâmbio de riscos e medidas integradas.</t>
  </si>
  <si>
    <t>https://www.gov.br/trabalho-e-emprego/pt-br/acesso-a-informacao/participacao-social/conselhos-e-orgaos-colegiados/comissao-tripartite-partitaria-permanente/normas-regulamentadora/normas-regulamentadoras-vigentes/nr-01-atualizada-2025-i.pdf</t>
  </si>
  <si>
    <t>F130</t>
  </si>
  <si>
    <t>Índice oficial do TST: enquadramento de insalubridade e negociação coletiva.</t>
  </si>
  <si>
    <t>https://www.tst.jus.br/pt/indice-tematico-precedentes-qualificados-tst</t>
  </si>
  <si>
    <t>F131 — Sangão — PA 030/2024, PE 014/2024</t>
  </si>
  <si>
    <t>TR, pp. 24–32: contratação planejada de SST; item 4.16 fixa prazos de entrega. Solicitar produtos e aceite ao RH/fiscal.</t>
  </si>
  <si>
    <t>https://sangao.sc.gov.br/uploads/sites/342/2024/05/PA_030_PE_014_2024_assinado.pdf</t>
  </si>
  <si>
    <t>F132 — TCE/SC — Acórdão 361/2024, @REP 19/00574249</t>
  </si>
  <si>
    <t>Resumo oficial, p. 13 do PDF: antecedente de LTCAT em fatos de 2017–2018. Não comprova laudo vigente dos novos postos.</t>
  </si>
  <si>
    <t>https://www.tcesc.tc.br/sites/default/files/2025-04/RTCESC_4_Jurisprudencia_selecionada.pdf</t>
  </si>
  <si>
    <t>F133 — Sangão — PA 086/2025, DL 012/2025</t>
  </si>
  <si>
    <t>Tabela inicial: 42 vagas de 40h por 2 meses, equivalentes a 84 postos-mês; documento não prova ocupação integral.</t>
  </si>
  <si>
    <t>https://sangao.sc.gov.br/uploads/sites/342/2025/10/PA-086_DL_012_2025_.pdf</t>
  </si>
  <si>
    <t>F134 — Sangão — PA 019/2026, PE 019/2026</t>
  </si>
  <si>
    <t>TR, pp. 23–24 e relação de unidades, p. 38: população agregada e endereços. Não informa fluxo de cada sanitário.</t>
  </si>
  <si>
    <t>https://sangao.sc.gov.br/uploads/sites/342/2026/03/PA_019_PE_019_2026_.pdf</t>
  </si>
  <si>
    <t>F135 — Sangão — PA 091/2025, CE 022/2025</t>
  </si>
  <si>
    <t>Objeto e TR de reformas escolares: identificação de quatro prédios. Obras previstas não comprovam condição atual.</t>
  </si>
  <si>
    <t>https://sangao.sc.gov.br/uploads/sites/342/2025/12/PA-091-CE-022-2025_.pdf</t>
  </si>
  <si>
    <t>F136 — SEGES — Orientação 46, de 12/08/2026</t>
  </si>
  <si>
    <t>APT no primeiro ano e em prorrogações. Referência metodológica federal; aplicação municipal deve ser motivada.</t>
  </si>
  <si>
    <t>https://www.gov.br/compras/pt-br/agente-publico/orientacoes-e-procedimentos/46-custos-com-aviso-previo-trabalhado-servicos-com-dedicacao-exclusiva-de-mao-de-obra</t>
  </si>
  <si>
    <t>F137 — MGI — Nota Técnica SEI 35883/2026</t>
  </si>
  <si>
    <t>Memória (7/30)/12 e (3/30)/12; distinguir parcela inicial e manutenção anual.</t>
  </si>
  <si>
    <t>https://www.gov.br/compras/pt-br/agente-publico/orientacoes-e-procedimentos/orientacao-46-nota_tecnica_35883.pdf</t>
  </si>
  <si>
    <t>F138 — TCU — Acórdão 58/2026-Plenário</t>
  </si>
  <si>
    <t>Documento disponibilizado pela SEGES como fundamento da Orientação 46.</t>
  </si>
  <si>
    <t>https://www.gov.br/compras/pt-br/agente-publico/orientacoes-e-procedimentos/orientacao-46-acordao-58_2026_tcu_plenario-1.pdf</t>
  </si>
  <si>
    <t>F139 — Lei 8.036/1990 — art. 15, caput e § 6º</t>
  </si>
  <si>
    <t>Natureza convencional da assiduidade e distinção entre incidências trabalhistas e fiscais; hipótese-base e alternativa na Sensibilidade.</t>
  </si>
  <si>
    <t>https://www.planalto.gov.br/ccivil_03/leis/l8036consol.htm</t>
  </si>
  <si>
    <t>F140</t>
  </si>
  <si>
    <t>01_Condicoes_Ambientais_Sangao(1).docx</t>
  </si>
  <si>
    <t>15/09/2026</t>
  </si>
  <si>
    <t>Cadastro e protocolos; ficha unitária e manifestação técnica ainda não preenchidas.</t>
  </si>
  <si>
    <t>F141</t>
  </si>
  <si>
    <t>02_Provisoes_e_Assiduidade_Sangao(1).docx</t>
  </si>
  <si>
    <t>Documentos municipais de apoio à definição das premissas; conteúdo incorporado ao relatório, ETP e TR, sem aprovação autônoma obrigatória.</t>
  </si>
  <si>
    <t>F142</t>
  </si>
  <si>
    <t>03_Demanda_e_SRP_Sangao(1).docx</t>
  </si>
  <si>
    <t>145 postos/4550h; SRP parcelado; ficha da demanda inicial e assinaturas em branco.</t>
  </si>
  <si>
    <t>F143</t>
  </si>
  <si>
    <t>PGM/SP, Ementa 12.341/2025: divergência fiscal/trabalhista; conclusão sobre outra CCT e repactuação.</t>
  </si>
  <si>
    <t>https://legislacao.prefeitura.sp.gov.br/parecer-procuradoria-geral-do-municipio-pgm-12341-de-20-de-marco-de-2025/anexo/67e1a3e0a4efe59371a4fb79/EMENTA%2012341-RBM.pdf</t>
  </si>
  <si>
    <t>INVENTÁRIO DOS DOCUMENTOS-BASE</t>
  </si>
  <si>
    <t>Documento</t>
  </si>
  <si>
    <t>Uso</t>
  </si>
  <si>
    <t>Observação</t>
  </si>
  <si>
    <t>Tabela de Valores de Referência 2026(1).pdf</t>
  </si>
  <si>
    <t>Benchmark SEA/SC</t>
  </si>
  <si>
    <t>UTILIZADO</t>
  </si>
  <si>
    <t>Fonte oficial principal externa.</t>
  </si>
  <si>
    <t>PCFP_ANALITICA_SANGAO_POSTOS_2026_FINAL.docx</t>
  </si>
  <si>
    <t>PCFP analítica local</t>
  </si>
  <si>
    <t>Base integral de formação dos 8 preços, com fechamento publicável por preço unitário a duas casas.</t>
  </si>
  <si>
    <t>PLANILHA_MEDIA_SANEADA_SEA_CGE.xlsx</t>
  </si>
  <si>
    <t>Ferramenta estatística</t>
  </si>
  <si>
    <t>MODELO NÃO APLICADO</t>
  </si>
  <si>
    <t>Sem amostra homogênea selecionada; não compõe o orçamento. Preservado como referência metodológica.</t>
  </si>
  <si>
    <t>3. Versao-6.0-modelo-etp-licitacao-terceirizados-01-04-2025(1).docx</t>
  </si>
  <si>
    <t>Modelo estadual ETP</t>
  </si>
  <si>
    <t>UTILIZADO COMO BOA PRÁTICA</t>
  </si>
  <si>
    <t>Confirma Tabela SEA como referência e painel quando posto não contemplado.</t>
  </si>
  <si>
    <t>1. Versao-5.0-check-list-licitacao-terceirizados-20-02-2025(1).docx</t>
  </si>
  <si>
    <t>Governança documental</t>
  </si>
  <si>
    <t>BOA PRÁTICA</t>
  </si>
  <si>
    <t>Não vincula Sangão, mas orienta instrução.</t>
  </si>
  <si>
    <t>2. Versao-5.0-modelo-DOD-licitacao-terceirizados-01-04-25(1).docx</t>
  </si>
  <si>
    <t>Dimensionamento e histórico</t>
  </si>
  <si>
    <t>Reforça quadro de postos, valores unitários e mensais.</t>
  </si>
  <si>
    <t>869635(1).pdf</t>
  </si>
  <si>
    <t>PCFP Lajeado/RS</t>
  </si>
  <si>
    <t>REFERÊNCIA TÉCNICA</t>
  </si>
  <si>
    <t>Valida arquitetura de módulos; jornada/CCT/geografia distintas.</t>
  </si>
  <si>
    <t>Termo Referência(1).pdf</t>
  </si>
  <si>
    <t>TR IFSP portaria</t>
  </si>
  <si>
    <t>Jornada 44h; não integra núcleo monetário 40h.</t>
  </si>
  <si>
    <t>SC000124-2026-FEVASC(10)(1).pdf</t>
  </si>
  <si>
    <t>CCT paradigma 2026</t>
  </si>
  <si>
    <t>CONFERIDO EM 14/09/2026</t>
  </si>
  <si>
    <t>CCT paradigma: vigência 01/01–31/12/2026; Sangão. Cláusulas 9, 11 e 38–41 conferidas.</t>
  </si>
  <si>
    <t>PARÂMETROS — CCT SC000124/2026 — BASE ECONÔMICA 09/09/2026</t>
  </si>
  <si>
    <t>Base econômica 09/09/2026. Anexos ambientais, provisões/assiduidade e demanda/SRP incorporados. Hipóteses mantidas; sensibilidade não altera orçamento.</t>
  </si>
  <si>
    <t>Parâmetro</t>
  </si>
  <si>
    <t>Valor</t>
  </si>
  <si>
    <t>Unidade</t>
  </si>
  <si>
    <t>Memória / condição</t>
  </si>
  <si>
    <t>Meses do ciclo</t>
  </si>
  <si>
    <t>meses contratados</t>
  </si>
  <si>
    <t>TR</t>
  </si>
  <si>
    <t>Horizonte inicial de doze meses; outra duração exige adequar a memória rescisória.</t>
  </si>
  <si>
    <t>Dias do mês comercial</t>
  </si>
  <si>
    <t>dias</t>
  </si>
  <si>
    <t>Memória</t>
  </si>
  <si>
    <t>Divisor de 30 dias remunerados; ausências anuais em 360.</t>
  </si>
  <si>
    <t>Dias de férias</t>
  </si>
  <si>
    <t>CLT/CCT</t>
  </si>
  <si>
    <t>Reserva de 30 dias.</t>
  </si>
  <si>
    <t>INSS patronal</t>
  </si>
  <si>
    <t>%</t>
  </si>
  <si>
    <t>Previdência</t>
  </si>
  <si>
    <t>Cenário patronal comum; licitante comprova regime.</t>
  </si>
  <si>
    <t>RAT</t>
  </si>
  <si>
    <t>RAT/FAP</t>
  </si>
  <si>
    <t>RAT 3% e FAP 1 são cenário; não imposição empresarial.</t>
  </si>
  <si>
    <t>FAP</t>
  </si>
  <si>
    <t>fator</t>
  </si>
  <si>
    <t>Fator orçamentário 1.</t>
  </si>
  <si>
    <t>Salário-educação</t>
  </si>
  <si>
    <t>Salário-educação.</t>
  </si>
  <si>
    <t>SESC</t>
  </si>
  <si>
    <t>Terceiros conforme enquadramento real.</t>
  </si>
  <si>
    <t>SENAC</t>
  </si>
  <si>
    <t>SEBRAE</t>
  </si>
  <si>
    <t>INCRA</t>
  </si>
  <si>
    <t>FGTS</t>
  </si>
  <si>
    <t>Lei FGTS</t>
  </si>
  <si>
    <t>Incidência por natureza da verba.</t>
  </si>
  <si>
    <t>Assiduidade</t>
  </si>
  <si>
    <t>F101 cl. 11, p. 7</t>
  </si>
  <si>
    <t>7% de M1, com insalubridade. Condições e exceções dos §§ 1º–3º; sem perda presumida no orçamento.</t>
  </si>
  <si>
    <t>Reserva previdenciária da assiduidade</t>
  </si>
  <si>
    <t>0 ou 1</t>
  </si>
  <si>
    <t>F124 / F126 / F127</t>
  </si>
  <si>
    <t>Reserva previdenciária/terceiros de 28,80%. FGTS de 8% e reflexos incluídos na PCFP; fundamento e opção prudencial no relatório, item 16.3.</t>
  </si>
  <si>
    <t>Alimentação 8h</t>
  </si>
  <si>
    <t>R$/dia</t>
  </si>
  <si>
    <t>F101 cl. 12</t>
  </si>
  <si>
    <t>8h diárias.</t>
  </si>
  <si>
    <t>Alimentação 6h</t>
  </si>
  <si>
    <t>6h diárias.</t>
  </si>
  <si>
    <t>Alimentação 4h</t>
  </si>
  <si>
    <t>4h diárias.</t>
  </si>
  <si>
    <t>Coparticipação VA</t>
  </si>
  <si>
    <t>Participação do empregado no VA.</t>
  </si>
  <si>
    <t>Limite anual estimado de dias VA</t>
  </si>
  <si>
    <t>dias/ano</t>
  </si>
  <si>
    <t>TR / cenário</t>
  </si>
  <si>
    <t>261 = 52×5+1; teto estimativo em 365 dias, sem deduzir feriados.</t>
  </si>
  <si>
    <t>BAT</t>
  </si>
  <si>
    <t>R$/mês</t>
  </si>
  <si>
    <t>F101 cl. 16</t>
  </si>
  <si>
    <t>Benefício ao trabalhador.</t>
  </si>
  <si>
    <t>Seguro de vida</t>
  </si>
  <si>
    <t>F112 p.5</t>
  </si>
  <si>
    <t>Estimativa pública de Painel/SC; cobertura CCT precisa ser demonstrada.</t>
  </si>
  <si>
    <t>Vale-transporte líquido</t>
  </si>
  <si>
    <t>Informação municipal</t>
  </si>
  <si>
    <t>Sem transporte público municipal; não exclui hipótese intermunicipal elegível.</t>
  </si>
  <si>
    <t>Avaliação clínica ocupacional</t>
  </si>
  <si>
    <t>R$/avaliação</t>
  </si>
  <si>
    <t>F116 p.24</t>
  </si>
  <si>
    <t>R$33 por avaliação clínica. Exames adicionais conforme PCMSO e riscos; não presumidos pela CCT.</t>
  </si>
  <si>
    <t>Avaliações estimadas no ciclo</t>
  </si>
  <si>
    <t>eventos/ano</t>
  </si>
  <si>
    <t>F122 / F101 cl. 41</t>
  </si>
  <si>
    <t>Reserva de 3 ocorrências. NR-7 vigente; não aplicar automaticamente mais 90 dias do item antigo citado na CCT.</t>
  </si>
  <si>
    <t>Fração API do cenário-base (descrição)</t>
  </si>
  <si>
    <t>fração</t>
  </si>
  <si>
    <t>Cenário de encerramento</t>
  </si>
  <si>
    <t>100% é hipótese fixa da PCFP-base, não taxa histórica. Para variação isolada, usar Sensibilidade; esta célula descritiva não muda a PCFP.</t>
  </si>
  <si>
    <t>Aviso indenizado</t>
  </si>
  <si>
    <t>Lei 12.506 / cenário</t>
  </si>
  <si>
    <t>33 dias no primeiro ciclo anual; não determinação de demissão.</t>
  </si>
  <si>
    <t>Avos da projeção de aviso</t>
  </si>
  <si>
    <t>avos</t>
  </si>
  <si>
    <t>Projeção API</t>
  </si>
  <si>
    <t>1 avo de 13º e férias projetados; conferir datas reais.</t>
  </si>
  <si>
    <t>Multa do FGTS</t>
  </si>
  <si>
    <t>F118/F119</t>
  </si>
  <si>
    <t>40%; sem contribuição adicional extinta e sem projeção API na base.</t>
  </si>
  <si>
    <t>Ausências legais</t>
  </si>
  <si>
    <t>F111 p.69</t>
  </si>
  <si>
    <t>Fator estimativo de referência, não taxa legal.</t>
  </si>
  <si>
    <t>Paternidade</t>
  </si>
  <si>
    <t>Fator de ocorrência estimada, não duração da licença.</t>
  </si>
  <si>
    <t>Acidente</t>
  </si>
  <si>
    <t>Fator estimativo de cobertura.</t>
  </si>
  <si>
    <t>Maternidade</t>
  </si>
  <si>
    <t>Capacitação</t>
  </si>
  <si>
    <t>dias/ciclo</t>
  </si>
  <si>
    <t>Dois dias de capacitação remunerada com cobertura.</t>
  </si>
  <si>
    <t>Custos indiretos</t>
  </si>
  <si>
    <t>Cenário administrativo</t>
  </si>
  <si>
    <t>Sobre custo direto; inclui preposto, programas SST e gestão.</t>
  </si>
  <si>
    <t>Lucro</t>
  </si>
  <si>
    <t>Sobre custo direto + indiretos.</t>
  </si>
  <si>
    <t>PIS</t>
  </si>
  <si>
    <t>% receita</t>
  </si>
  <si>
    <t>Cenário cumulativo</t>
  </si>
  <si>
    <t>Licitação admite regime empresarial comprovado.</t>
  </si>
  <si>
    <t>Cofins</t>
  </si>
  <si>
    <t>Retenções não são novos custos.</t>
  </si>
  <si>
    <t>ISS</t>
  </si>
  <si>
    <t>LC 68/2017 / F123</t>
  </si>
  <si>
    <t>5% fornecimento de mão de obra, subitem 17.05. Mantido conforme instrução e cotejo com ata municipal.</t>
  </si>
  <si>
    <t>Camiseta comum</t>
  </si>
  <si>
    <t>R$/unidade</t>
  </si>
  <si>
    <t>F113 p.14</t>
  </si>
  <si>
    <t>Preço unitário público identificado.</t>
  </si>
  <si>
    <t>Calça comum</t>
  </si>
  <si>
    <t>Calçado (par)</t>
  </si>
  <si>
    <t>F115 p.9</t>
  </si>
  <si>
    <t>Jaqueta</t>
  </si>
  <si>
    <t>F114 p.2</t>
  </si>
  <si>
    <t>Camisa cozinha</t>
  </si>
  <si>
    <t>F114 p.14</t>
  </si>
  <si>
    <t>Calça cozinha</t>
  </si>
  <si>
    <t>Avental</t>
  </si>
  <si>
    <t>Touca</t>
  </si>
  <si>
    <t>Luva nitrílica (par)</t>
  </si>
  <si>
    <t>F117 p.4</t>
  </si>
  <si>
    <t>Luva térmica (par)</t>
  </si>
  <si>
    <t>Colete</t>
  </si>
  <si>
    <t>F117 p.5</t>
  </si>
  <si>
    <t>Conjunto impermeável</t>
  </si>
  <si>
    <t>F117 p.8</t>
  </si>
  <si>
    <t>Óculos</t>
  </si>
  <si>
    <t>F117 p.10</t>
  </si>
  <si>
    <t>Bota PVC (par)</t>
  </si>
  <si>
    <t>F117 p.18</t>
  </si>
  <si>
    <t>Camisas por ciclo</t>
  </si>
  <si>
    <t>unidades/ano</t>
  </si>
  <si>
    <t>F101 cl. 40 / TR</t>
  </si>
  <si>
    <t>Dois uniformes completos/ano; dois conjuntos de camisa/calça. Acessórios e reposição conforme clima e uso.</t>
  </si>
  <si>
    <t>Calças por ciclo</t>
  </si>
  <si>
    <t>Dois uniformes completos/ano; CCT não fixa quantidade de cada acessório. Reposição necessária garantida.</t>
  </si>
  <si>
    <t>Calçados por ciclo</t>
  </si>
  <si>
    <t>TR / kit anual</t>
  </si>
  <si>
    <t>Quantidade de planejamento; reposição antecipada por desgaste.</t>
  </si>
  <si>
    <t>Jaquetas por ciclo</t>
  </si>
  <si>
    <t>Pares nitrílicos por ciclo</t>
  </si>
  <si>
    <t>Pares térmicos por ciclo</t>
  </si>
  <si>
    <t>Óculos por ciclo</t>
  </si>
  <si>
    <t>Coletes por ciclo</t>
  </si>
  <si>
    <t>F101 cl. 39 / TR</t>
  </si>
  <si>
    <t>Colete em estacionamento/controle de fluxo de veículos; reserva nos kits portaria/escolar.</t>
  </si>
  <si>
    <t>Impermeáveis por ciclo</t>
  </si>
  <si>
    <t>F101 cl. 38 / TR</t>
  </si>
  <si>
    <t>Impermeável para trabalho externo sob chuva sem proteção; reserva nos kits portaria/limpeza.</t>
  </si>
  <si>
    <t>Meses do ano — provisões</t>
  </si>
  <si>
    <t>meses/ano</t>
  </si>
  <si>
    <t>Identidade de cálculo</t>
  </si>
  <si>
    <t>12 meses do ano: base das provisões e rateios, distinta da duração do contrato.</t>
  </si>
  <si>
    <t>Total previdenciário/terceiros</t>
  </si>
  <si>
    <t>Memória / F101 / TR</t>
  </si>
  <si>
    <t>Total de encargos com FGTS</t>
  </si>
  <si>
    <t>M2.1 — 13º + férias + terço</t>
  </si>
  <si>
    <t>Fator da capacitação</t>
  </si>
  <si>
    <t>Fator das demais ausências</t>
  </si>
  <si>
    <t>Kit comum anual</t>
  </si>
  <si>
    <t>Kit portaria anual</t>
  </si>
  <si>
    <t>Kit cozinha anual</t>
  </si>
  <si>
    <t>Kit limpeza anual</t>
  </si>
  <si>
    <t>Kit escolar anual</t>
  </si>
  <si>
    <t>Kit administrativo anual</t>
  </si>
  <si>
    <t>Divisor salarial integral CCT</t>
  </si>
  <si>
    <t>Horas salariais CCT para 6h</t>
  </si>
  <si>
    <t>Horas salariais CCT para 4h</t>
  </si>
  <si>
    <t>PCFP DETALHADA — MEMÓRIA INTEGRAL POR ITEM</t>
  </si>
  <si>
    <t>Cenário inicial de 12 meses; aviso integral indenizado. Amortizações e prorrogações exigem memória própria.</t>
  </si>
  <si>
    <t>PARCELA / UNIDADE</t>
  </si>
  <si>
    <t>1. Porteiro(a) 40h</t>
  </si>
  <si>
    <t>2. Cozinheiro(a) 40h</t>
  </si>
  <si>
    <t>3. Auxiliar de Limpeza 40h</t>
  </si>
  <si>
    <t>4. Auxiliar de Limpeza 30h</t>
  </si>
  <si>
    <t>5. Agente de Apoio Escolar 30h</t>
  </si>
  <si>
    <t>6. Emissor de Documentos 40h</t>
  </si>
  <si>
    <t>7. Apoio Administrativo 40h</t>
  </si>
  <si>
    <t>8. Apoio Administrativo 20h</t>
  </si>
  <si>
    <t>BASE / INCIDÊNCIA</t>
  </si>
  <si>
    <t>Quantidade de postos</t>
  </si>
  <si>
    <t>Jornada semanal (h)</t>
  </si>
  <si>
    <t>Salário integral de referência</t>
  </si>
  <si>
    <t>Proporção salarial da CCT</t>
  </si>
  <si>
    <t>Salário da jornada</t>
  </si>
  <si>
    <t>Adicional de insalubridade</t>
  </si>
  <si>
    <t>CCT cl. 9: 20% do piso proporcional da limpeza. Parâmetro convencional; avaliação concreta conforme TR.</t>
  </si>
  <si>
    <t>Insalubridade em R$</t>
  </si>
  <si>
    <t>M1 — REMUNERAÇÃO</t>
  </si>
  <si>
    <t>13º salário</t>
  </si>
  <si>
    <t>Férias do titular</t>
  </si>
  <si>
    <t>Férias do titular; M1 suporta o ocupante ativo.</t>
  </si>
  <si>
    <t>Terço de férias</t>
  </si>
  <si>
    <t>M2.1 — DIREITOS ANUAIS</t>
  </si>
  <si>
    <t>Encargos M1 + M2.1 e FGTS de A</t>
  </si>
  <si>
    <t>Assiduidade condicionada</t>
  </si>
  <si>
    <t>7% de M1. Reserva: previdência, FGTS e reflexos; relatório 16.3.</t>
  </si>
  <si>
    <t>Previdência/terceiros sobre assiduidade</t>
  </si>
  <si>
    <t>Reserva previdenciária/terceiros: 28,80% sobre A. FGTS de A na linha 17, sem duplicidade.</t>
  </si>
  <si>
    <t>M2.2 — ENCARGOS</t>
  </si>
  <si>
    <t>Alimentação líquida</t>
  </si>
  <si>
    <t>Seguro</t>
  </si>
  <si>
    <t>VT líquido</t>
  </si>
  <si>
    <t>M2.3 — BENEFÍCIOS</t>
  </si>
  <si>
    <t>M2 — TOTAL</t>
  </si>
  <si>
    <t>Uniformes/EPI — rateio mensal</t>
  </si>
  <si>
    <t>Cl. 40: dois uniformes completos/ano. Cl. 38–39: chuva/veículos. EPI por risco, CA e reposição conforme NR-6.</t>
  </si>
  <si>
    <t>Avaliações clínicas — rateio mensal</t>
  </si>
  <si>
    <t>Reserva clínica: R$33×3/12. PCMSO/NR-7 definem eventos e exames adicionais. Cl. 41 tem remissão antiga.</t>
  </si>
  <si>
    <t>M5 — INSUMOS</t>
  </si>
  <si>
    <t>Direitos próprios do ferista</t>
  </si>
  <si>
    <t>(M1+A) × 19,444444%/12; sem novo salário mensal do ferista.</t>
  </si>
  <si>
    <t>Encargos dos direitos do ferista</t>
  </si>
  <si>
    <t>Despesas adicionais do ferista</t>
  </si>
  <si>
    <t>(BAT + seguro + insumos)/12; sem repetir assiduidade.</t>
  </si>
  <si>
    <t>Base de outras ausências</t>
  </si>
  <si>
    <t>Reposição de ausências legais</t>
  </si>
  <si>
    <t>Reposição de paternidade</t>
  </si>
  <si>
    <t>Reposição de acidente</t>
  </si>
  <si>
    <t>Reposição de maternidade</t>
  </si>
  <si>
    <t>Reposição para capacitação</t>
  </si>
  <si>
    <t>Demais reposições — total</t>
  </si>
  <si>
    <t>M4 — REPOSIÇÕES</t>
  </si>
  <si>
    <t>Aviso indenizado 33 dias</t>
  </si>
  <si>
    <t>(M1+A) × 33/30/12; API sem previdência patronal.</t>
  </si>
  <si>
    <t>FGTS sobre aviso indenizado</t>
  </si>
  <si>
    <t>FGTS devido no API; não compõe a multa abaixo.</t>
  </si>
  <si>
    <t>13º da projeção do aviso</t>
  </si>
  <si>
    <t>Encargos do 13º projetado</t>
  </si>
  <si>
    <t>13º projetado tem encargos.</t>
  </si>
  <si>
    <t>Férias indenizadas da projeção</t>
  </si>
  <si>
    <t>Natureza indenizatória: sem encargos.</t>
  </si>
  <si>
    <t>Aviso trabalhado (não adotado)</t>
  </si>
  <si>
    <t>Zero apenas no cenário de API integral. Ver Aviso_Trabalhado e F136–F138; não somar avisos para o mesmo evento.</t>
  </si>
  <si>
    <t>Encargos do aviso trabalhado</t>
  </si>
  <si>
    <t>Rescisões da força de reposição</t>
  </si>
  <si>
    <t>Base mensal de depósitos para multa</t>
  </si>
  <si>
    <t>Exclui projeção do API — Tema 255/TST.</t>
  </si>
  <si>
    <t>Multa de 40% dos depósitos</t>
  </si>
  <si>
    <t>Sem contribuição adicional extinta de 10%.</t>
  </si>
  <si>
    <t>M3 — RESCISÕES</t>
  </si>
  <si>
    <t>CUSTO DIRETO</t>
  </si>
  <si>
    <t>Base antes dos tributos</t>
  </si>
  <si>
    <t>Preço com tributos — integral</t>
  </si>
  <si>
    <t>Tributos sobre receita</t>
  </si>
  <si>
    <t>PREÇO FINAL POSTO-MÊS</t>
  </si>
  <si>
    <t>Único arredondamento do preço; parcelas de folha têm centavos.</t>
  </si>
  <si>
    <t>TOTAL MENSAL DO ITEM</t>
  </si>
  <si>
    <t>TOTAL 12 MESES DO ITEM</t>
  </si>
  <si>
    <t>AMBIENTES — CONDIÇÕES DE EXECUÇÃO E ALOCAÇÃO</t>
  </si>
  <si>
    <t>Cadastro de referência; lotação definida em cada acionamento. Esta aba não constitui laudo. Programas e proteção serão compatibilizados na mobilização conforme o TR.</t>
  </si>
  <si>
    <t>Código</t>
  </si>
  <si>
    <t>Endereço documental</t>
  </si>
  <si>
    <t>Função / jornada / postos / turno</t>
  </si>
  <si>
    <t>Ambiente / tarefas</t>
  </si>
  <si>
    <t>Sanitários: número, tipo, acesso</t>
  </si>
  <si>
    <t>População fixa / fluxo</t>
  </si>
  <si>
    <t>Coleta de lixo sanitário</t>
  </si>
  <si>
    <t>Cozinha / umidade / calor / exterior</t>
  </si>
  <si>
    <t>Saneantes / FDS / diluição</t>
  </si>
  <si>
    <t>EPI/EPC / CA / exames</t>
  </si>
  <si>
    <t>PGR / PCMSO / LTCAT / LTIP</t>
  </si>
  <si>
    <t>Conclusão técnica</t>
  </si>
  <si>
    <t>Fonte / responsável</t>
  </si>
  <si>
    <t>U01</t>
  </si>
  <si>
    <t>CEM João Manoel de Souza</t>
  </si>
  <si>
    <t>Rua Manoel João de Souza, 50 — Campo do Sangão</t>
  </si>
  <si>
    <t>Limites por item no ETP. Alocação a definir antes do acionamento.</t>
  </si>
  <si>
    <t>Tarefas do TR; identificar ambientes efetivamente atendidos.</t>
  </si>
  <si>
    <t>Caracterização pela tarefa, acesso e circulação do ambiente, conforme TR; verificar na mobilização.</t>
  </si>
  <si>
    <t>Não estimar circulação de sanitário pelo total de alunos da rede. Identificar o ambiente atendido no acionamento.</t>
  </si>
  <si>
    <t>Resíduos comuns e sanitários conforme atribuição de limpeza; vedada inclusão informal de resíduo especial.</t>
  </si>
  <si>
    <t>Condições informadas pelo Município e avaliadas na compatibilização ocupacional antes das atividades.</t>
  </si>
  <si>
    <t>Materiais fornecidos pelo Município; comunicar produtos, FDS, diluição e forma de uso à contratada.</t>
  </si>
  <si>
    <t>Kit orçado na PCFP; seleção, CA, reposição e exames segundo riscos e programas ocupacionais.</t>
  </si>
  <si>
    <t>PGR/PCMSO aplicáveis da contratada na mobilização; Município disponibiliza laudos existentes pertinentes.</t>
  </si>
  <si>
    <t>20% para limpeza é parâmetro convencional do orçamento; não certifica enquadramento técnico universal.</t>
  </si>
  <si>
    <t>F134, p. 38; F135; Educação/RH/SST/fiscalização</t>
  </si>
  <si>
    <t>U02</t>
  </si>
  <si>
    <t>CEI João Inocêncio de Aguiar</t>
  </si>
  <si>
    <t>Localidade de Areinha; endereço operacional comunicado na ordem de serviço.</t>
  </si>
  <si>
    <t>U03</t>
  </si>
  <si>
    <t>CEI Turma do Cebolinha</t>
  </si>
  <si>
    <t>Rua Osvaldo Otávio Eduardo, 40 — Centro</t>
  </si>
  <si>
    <t>U04</t>
  </si>
  <si>
    <t>Berçário Brincando e Aprendendo</t>
  </si>
  <si>
    <t>Rua Izaura Goularte Lessa — Morro Grande.</t>
  </si>
  <si>
    <t>U05</t>
  </si>
  <si>
    <t>CEI Pequenos Brilhantes</t>
  </si>
  <si>
    <t>Estrada Geral Garganta</t>
  </si>
  <si>
    <t>F134, p. 38; Educação/RH/SST/fiscalização</t>
  </si>
  <si>
    <t>U06</t>
  </si>
  <si>
    <t>CEI Balão Mágico</t>
  </si>
  <si>
    <t>Rua Porfírio João Pereira</t>
  </si>
  <si>
    <t>U07</t>
  </si>
  <si>
    <t>CEM Conexão</t>
  </si>
  <si>
    <t>Rua Projetada H, Quadra H, Loteamento Adelúcio de Aguiar — Centro, s/n</t>
  </si>
  <si>
    <t>U08</t>
  </si>
  <si>
    <t>Núcleo de Cooperação Educacional</t>
  </si>
  <si>
    <t>Rua Izaura Goularte Lessa</t>
  </si>
  <si>
    <t>Sede municipal: Rodovia SC 443, km 02, nº 850, Centro. Outras unidades serão indicadas previamente ao acionamento, dentro do objeto e das condições contratadas.</t>
  </si>
  <si>
    <t>O Município informa riscos sob sua gestão; a contratada compatibiliza proteção, programas e aptidão antes do trabalho. Condição conhecida com impacto material deve ser tratada no planejamento e divulgada; alteração posterior exige avaliação antes da alocação, sem pagamento adicional automático.</t>
  </si>
  <si>
    <t>AVISO PRÉVIO TRABALHADO — REFERÊNCIA METODOLÓGICA, NÃO SOMADA AO API</t>
  </si>
  <si>
    <t>F136–F138. Referência metodológica federal para simulação isolada do APT. Não integra cumulativamente o M3 com API nem alimenta o preço-base.</t>
  </si>
  <si>
    <t>PARÂMETRO</t>
  </si>
  <si>
    <t>VALOR</t>
  </si>
  <si>
    <t>MEMÓRIA EXATA</t>
  </si>
  <si>
    <t>Dias iniciais</t>
  </si>
  <si>
    <t>(7 / 30) / 12</t>
  </si>
  <si>
    <t>Divisor diário</t>
  </si>
  <si>
    <t>(3 / 30) / 12</t>
  </si>
  <si>
    <t>Dias adicionais anuais</t>
  </si>
  <si>
    <t>Percentual publicado — primeiro ano</t>
  </si>
  <si>
    <t>Percentual publicado — permanência sem utilização</t>
  </si>
  <si>
    <t>Item / função</t>
  </si>
  <si>
    <t>M1 (R$)</t>
  </si>
  <si>
    <t>Benefícios orçados (R$)</t>
  </si>
  <si>
    <t>Base ilustrativa (R$)</t>
  </si>
  <si>
    <t>APT 1,94% / posto</t>
  </si>
  <si>
    <t>APT 0,83% / posto</t>
  </si>
  <si>
    <t>1,94% × postos</t>
  </si>
  <si>
    <t>0,83% × postos</t>
  </si>
  <si>
    <t>TOTAL DO COMPONENTE / MÊS</t>
  </si>
  <si>
    <t>Base ilustrativa = M1 + M2.3 da PCFP (assiduidade, VA, BAT, seguro e VT). A elegibilidade de cada benefício e suas incidências será examinada na composição efetiva; não aplicar encargos sobre benefícios indenizatórios por cascata.</t>
  </si>
  <si>
    <t>Prorrogação: 0,83% substitui 1,94% somente com o mesmo empregado, empresa e contrato, sem utilização. Havendo utilização comprovada, manter 1,94% no posto atingido. Não somar os percentuais.</t>
  </si>
  <si>
    <t>A hipótese de 100% de dispensas com aviso indenizado é cenário máximo conservador do primeiro ciclo, não percentual histórico de rotatividade nem previsão de extinção integral dos vínculos. O APT é zero apenas nesse cenário mutuamente exclusivo. As referências de APT constam da aba Aviso_Trabalhado, sem adição automática ao aviso indenizado. A revisão das prorrogações verificará eventos efetivos, saldo de obrigações e custos já amortizados; não perpetuará automaticamente a reserva inicial.</t>
  </si>
  <si>
    <t>Encargos específicos do APT e demais eventos rescisórios não integram esta simulação isolada. O orçamento-base é calculado na PCFP_Detalhada.</t>
  </si>
  <si>
    <t xml:space="preserve">ECONÔMICA DIRETA </t>
  </si>
  <si>
    <t xml:space="preserve">ALTA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</si>
</sst>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R\$\ #,##0.00"/>
    <numFmt numFmtId="165" formatCode="&quot;R$&quot;\ #,##0.00"/>
    <numFmt numFmtId="166" formatCode="0.0000%"/>
    <numFmt numFmtId="167" formatCode="0.000000%"/>
    <numFmt numFmtId="168" formatCode="&quot;R$&quot;\ #,##0.00;[Red]\(&quot;R$&quot;\ #,##0.00\);&quot;R$&quot;\ 0.00"/>
  </numFmts>
  <fonts count="17">
    <font>
      <sz val="11"/>
      <name val="Carlito"/>
    </font>
    <font>
      <b/>
      <sz val="9"/>
      <color rgb="FFFFFFFF"/>
      <name val="Arial"/>
    </font>
    <font>
      <sz val="9"/>
      <name val="Arial"/>
    </font>
    <font>
      <b/>
      <sz val="9"/>
      <color rgb="FF0B314A"/>
      <name val="Arial"/>
    </font>
    <font>
      <b/>
      <sz val="9"/>
      <color rgb="FF000000"/>
      <name val="Arial"/>
    </font>
    <font>
      <b/>
      <sz val="9"/>
      <color rgb="FF006100"/>
      <name val="Arial"/>
    </font>
    <font>
      <i/>
      <sz val="9"/>
      <color rgb="FF595959"/>
      <name val="Arial"/>
    </font>
    <font>
      <sz val="10"/>
      <name val="Arial"/>
    </font>
    <font>
      <b/>
      <sz val="13"/>
      <color rgb="FFFFFFFF"/>
      <name val="Arial"/>
    </font>
    <font>
      <sz val="10"/>
      <color rgb="FF0000FF"/>
      <name val="Arial"/>
    </font>
    <font>
      <sz val="10"/>
      <color rgb="FF008000"/>
      <name val="Arial"/>
    </font>
    <font>
      <b/>
      <sz val="10"/>
      <name val="Arial"/>
    </font>
    <font>
      <b/>
      <sz val="10"/>
      <color rgb="FF008000"/>
      <name val="Arial"/>
    </font>
    <font>
      <b/>
      <sz val="10"/>
      <color rgb="FFFFFFFF"/>
      <name val="Arial"/>
    </font>
    <font>
      <sz val="9"/>
      <color rgb="FF0563C1"/>
      <name val="Arial"/>
    </font>
    <font>
      <sz val="9"/>
      <color rgb="FF000000"/>
      <name val="Arial"/>
    </font>
    <font>
      <sz val="10"/>
      <color rgb="FFFFFFFF"/>
      <name val="Arial"/>
    </font>
  </fonts>
  <fills count="16">
    <fill>
      <patternFill patternType="none"/>
    </fill>
    <fill>
      <patternFill patternType="gray125"/>
    </fill>
    <fill>
      <patternFill patternType="solid">
        <fgColor rgb="FF123B56"/>
      </patternFill>
    </fill>
    <fill>
      <patternFill patternType="solid">
        <fgColor rgb="FFEEF5FA"/>
      </patternFill>
    </fill>
    <fill>
      <patternFill patternType="solid">
        <fgColor rgb="FFF8FBFD"/>
      </patternFill>
    </fill>
    <fill>
      <patternFill patternType="solid">
        <fgColor rgb="FFD9E7F1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EEF5FA"/>
      </patternFill>
    </fill>
    <fill>
      <patternFill patternType="solid">
        <fgColor rgb="FF163C51"/>
      </patternFill>
    </fill>
    <fill>
      <patternFill patternType="solid">
        <fgColor rgb="FFFFF2CC"/>
      </patternFill>
    </fill>
    <fill>
      <patternFill patternType="solid">
        <fgColor rgb="FFE6EDF2"/>
      </patternFill>
    </fill>
    <fill>
      <patternFill patternType="solid">
        <fgColor rgb="FFDCEEDB"/>
      </patternFill>
    </fill>
    <fill>
      <patternFill patternType="solid">
        <fgColor rgb="FF17365D"/>
      </patternFill>
    </fill>
    <fill>
      <patternFill patternType="solid">
        <fgColor rgb="FFDCE6F1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CBD5DB"/>
      </left>
      <right style="thin">
        <color rgb="FFCBD5DB"/>
      </right>
      <top style="thin">
        <color rgb="FFCBD5DB"/>
      </top>
      <bottom style="thin">
        <color rgb="FFCBD5DB"/>
      </bottom>
      <diagonal/>
    </border>
    <border>
      <left style="thin">
        <color rgb="FFD1D9DF"/>
      </left>
      <right style="thin">
        <color rgb="FFD1D9DF"/>
      </right>
      <top style="thin">
        <color rgb="FFD1D9DF"/>
      </top>
      <bottom style="thin">
        <color rgb="FFD1D9DF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" fontId="2" fillId="0" borderId="4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1" fontId="2" fillId="0" borderId="8" xfId="0" applyNumberFormat="1" applyFont="1" applyBorder="1" applyAlignment="1">
      <alignment vertical="center" wrapText="1"/>
    </xf>
    <xf numFmtId="1" fontId="2" fillId="0" borderId="9" xfId="0" applyNumberFormat="1" applyFont="1" applyBorder="1" applyAlignment="1">
      <alignment vertical="center" wrapText="1"/>
    </xf>
    <xf numFmtId="0" fontId="2" fillId="6" borderId="8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5" fillId="7" borderId="4" xfId="0" applyFont="1" applyFill="1" applyBorder="1" applyAlignment="1">
      <alignment vertical="center" wrapText="1"/>
    </xf>
    <xf numFmtId="0" fontId="5" fillId="7" borderId="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7" borderId="8" xfId="0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65" fontId="5" fillId="7" borderId="1" xfId="0" applyNumberFormat="1" applyFont="1" applyFill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165" fontId="2" fillId="0" borderId="0" xfId="0" applyNumberFormat="1" applyFont="1" applyAlignment="1">
      <alignment vertical="center"/>
    </xf>
    <xf numFmtId="0" fontId="7" fillId="0" borderId="0" xfId="0" applyFont="1"/>
    <xf numFmtId="0" fontId="7" fillId="0" borderId="13" xfId="0" applyFont="1" applyBorder="1" applyAlignment="1">
      <alignment vertical="center" wrapText="1"/>
    </xf>
    <xf numFmtId="0" fontId="13" fillId="10" borderId="13" xfId="0" applyFont="1" applyFill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1" fillId="15" borderId="0" xfId="0" applyFont="1" applyFill="1" applyAlignment="1">
      <alignment vertical="center" wrapText="1"/>
    </xf>
    <xf numFmtId="167" fontId="7" fillId="0" borderId="0" xfId="0" applyNumberFormat="1" applyFont="1" applyAlignment="1">
      <alignment vertical="center" wrapText="1"/>
    </xf>
    <xf numFmtId="10" fontId="7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4" fontId="11" fillId="15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4" fillId="5" borderId="0" xfId="0" applyFont="1" applyFill="1" applyAlignment="1">
      <alignment horizontal="left" vertical="center"/>
    </xf>
    <xf numFmtId="0" fontId="6" fillId="8" borderId="0" xfId="0" applyFont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4" fillId="5" borderId="1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6" fillId="6" borderId="0" xfId="0" applyFont="1" applyFill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0" fontId="0" fillId="0" borderId="0" xfId="0"/>
    <xf numFmtId="0" fontId="8" fillId="10" borderId="0" xfId="0" applyFont="1" applyFill="1"/>
    <xf numFmtId="0" fontId="7" fillId="0" borderId="0" xfId="0" applyFont="1"/>
    <xf numFmtId="0" fontId="7" fillId="0" borderId="0" xfId="0" applyFont="1" applyAlignment="1">
      <alignment wrapText="1"/>
    </xf>
    <xf numFmtId="0" fontId="16" fillId="14" borderId="0" xfId="0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2" fillId="7" borderId="1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2" fillId="6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10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2" fontId="9" fillId="11" borderId="13" xfId="0" applyNumberFormat="1" applyFont="1" applyFill="1" applyBorder="1" applyAlignment="1">
      <alignment horizontal="center" vertical="center" wrapText="1"/>
    </xf>
    <xf numFmtId="166" fontId="9" fillId="11" borderId="13" xfId="0" applyNumberFormat="1" applyFont="1" applyFill="1" applyBorder="1" applyAlignment="1">
      <alignment horizontal="center" vertical="center" wrapText="1"/>
    </xf>
    <xf numFmtId="167" fontId="10" fillId="0" borderId="13" xfId="0" applyNumberFormat="1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 wrapText="1"/>
    </xf>
    <xf numFmtId="1" fontId="10" fillId="0" borderId="13" xfId="0" applyNumberFormat="1" applyFont="1" applyBorder="1" applyAlignment="1">
      <alignment horizontal="center" vertical="center" wrapText="1"/>
    </xf>
    <xf numFmtId="0" fontId="13" fillId="10" borderId="14" xfId="0" applyFont="1" applyFill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1" fontId="9" fillId="11" borderId="14" xfId="0" applyNumberFormat="1" applyFont="1" applyFill="1" applyBorder="1" applyAlignment="1">
      <alignment horizontal="center" wrapText="1"/>
    </xf>
    <xf numFmtId="168" fontId="9" fillId="11" borderId="14" xfId="0" applyNumberFormat="1" applyFont="1" applyFill="1" applyBorder="1" applyAlignment="1">
      <alignment horizontal="center" wrapText="1"/>
    </xf>
    <xf numFmtId="167" fontId="10" fillId="0" borderId="14" xfId="0" applyNumberFormat="1" applyFont="1" applyBorder="1" applyAlignment="1">
      <alignment horizontal="center" wrapText="1"/>
    </xf>
    <xf numFmtId="168" fontId="10" fillId="0" borderId="14" xfId="0" applyNumberFormat="1" applyFont="1" applyBorder="1" applyAlignment="1">
      <alignment horizontal="center" wrapText="1"/>
    </xf>
    <xf numFmtId="167" fontId="9" fillId="11" borderId="14" xfId="0" applyNumberFormat="1" applyFont="1" applyFill="1" applyBorder="1" applyAlignment="1">
      <alignment horizontal="center" wrapText="1"/>
    </xf>
    <xf numFmtId="0" fontId="11" fillId="12" borderId="14" xfId="0" applyFont="1" applyFill="1" applyBorder="1" applyAlignment="1">
      <alignment horizontal="center" wrapText="1"/>
    </xf>
    <xf numFmtId="168" fontId="12" fillId="12" borderId="14" xfId="0" applyNumberFormat="1" applyFont="1" applyFill="1" applyBorder="1" applyAlignment="1">
      <alignment horizontal="center" wrapText="1"/>
    </xf>
    <xf numFmtId="0" fontId="11" fillId="13" borderId="14" xfId="0" applyFont="1" applyFill="1" applyBorder="1" applyAlignment="1">
      <alignment horizontal="center" wrapText="1"/>
    </xf>
    <xf numFmtId="168" fontId="12" fillId="13" borderId="14" xfId="0" applyNumberFormat="1" applyFont="1" applyFill="1" applyBorder="1" applyAlignment="1">
      <alignment horizontal="center" wrapText="1"/>
    </xf>
    <xf numFmtId="0" fontId="11" fillId="15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PCFP Sangão</c:v>
          </c:tx>
          <c:invertIfNegative val="1"/>
          <c:cat>
            <c:strRef>
              <c:f>Matriz_Comparativa!$P$17:$P$21</c:f>
              <c:strCache>
                <c:ptCount val="5"/>
                <c:pt idx="0">
                  <c:v>Porteiro(a)</c:v>
                </c:pt>
                <c:pt idx="1">
                  <c:v>Cozinheiro(a)</c:v>
                </c:pt>
                <c:pt idx="2">
                  <c:v>Aux. Limpeza 40h</c:v>
                </c:pt>
                <c:pt idx="3">
                  <c:v>Aux. Limpeza 30h</c:v>
                </c:pt>
                <c:pt idx="4">
                  <c:v>Emissor Documentos</c:v>
                </c:pt>
              </c:strCache>
            </c:strRef>
          </c:cat>
          <c:val>
            <c:numRef>
              <c:f>Matriz_Comparativa!$Q$17:$Q$21</c:f>
              <c:numCache>
                <c:formatCode>General</c:formatCode>
                <c:ptCount val="5"/>
                <c:pt idx="0">
                  <c:v>6806.27</c:v>
                </c:pt>
                <c:pt idx="1">
                  <c:v>5367.64</c:v>
                </c:pt>
                <c:pt idx="2">
                  <c:v>5909.03</c:v>
                </c:pt>
                <c:pt idx="3">
                  <c:v>4861.67</c:v>
                </c:pt>
                <c:pt idx="4">
                  <c:v>5429.51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FC-4E8D-A5D4-5CC5AD1CC2D5}"/>
            </c:ext>
          </c:extLst>
        </c:ser>
        <c:ser>
          <c:idx val="1"/>
          <c:order val="1"/>
          <c:tx>
            <c:v>SEA/SC 2026</c:v>
          </c:tx>
          <c:invertIfNegative val="1"/>
          <c:cat>
            <c:strRef>
              <c:f>Matriz_Comparativa!$P$17:$P$21</c:f>
              <c:strCache>
                <c:ptCount val="5"/>
                <c:pt idx="0">
                  <c:v>Porteiro(a)</c:v>
                </c:pt>
                <c:pt idx="1">
                  <c:v>Cozinheiro(a)</c:v>
                </c:pt>
                <c:pt idx="2">
                  <c:v>Aux. Limpeza 40h</c:v>
                </c:pt>
                <c:pt idx="3">
                  <c:v>Aux. Limpeza 30h</c:v>
                </c:pt>
                <c:pt idx="4">
                  <c:v>Emissor Documentos</c:v>
                </c:pt>
              </c:strCache>
            </c:strRef>
          </c:cat>
          <c:val>
            <c:numRef>
              <c:f>Matriz_Comparativa!$R$17:$R$21</c:f>
              <c:numCache>
                <c:formatCode>General</c:formatCode>
                <c:ptCount val="5"/>
                <c:pt idx="0">
                  <c:v>7319.35</c:v>
                </c:pt>
                <c:pt idx="1">
                  <c:v>5813.31</c:v>
                </c:pt>
                <c:pt idx="2">
                  <c:v>6420.86</c:v>
                </c:pt>
                <c:pt idx="3">
                  <c:v>5344.87</c:v>
                </c:pt>
                <c:pt idx="4">
                  <c:v>5767.01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C-4E8D-A5D4-5CC5AD1CC2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8</xdr:col>
      <xdr:colOff>0</xdr:colOff>
      <xdr:row>33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0"/>
  <sheetViews>
    <sheetView topLeftCell="A7" workbookViewId="0">
      <selection sqref="A1:H1"/>
    </sheetView>
  </sheetViews>
  <sheetFormatPr defaultRowHeight="14.25"/>
  <cols>
    <col min="1" max="1" width="21" customWidth="1"/>
    <col min="2" max="2" width="20" customWidth="1"/>
    <col min="3" max="3" width="11" customWidth="1"/>
    <col min="4" max="4" width="10" customWidth="1"/>
    <col min="5" max="7" width="16" customWidth="1"/>
    <col min="8" max="8" width="38" customWidth="1"/>
  </cols>
  <sheetData>
    <row r="1" spans="1:26">
      <c r="A1" s="44" t="s">
        <v>0</v>
      </c>
      <c r="B1" s="44"/>
      <c r="C1" s="44"/>
      <c r="D1" s="44"/>
      <c r="E1" s="44"/>
      <c r="F1" s="44"/>
      <c r="G1" s="44"/>
      <c r="H1" s="4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45" t="s">
        <v>1</v>
      </c>
      <c r="B2" s="45"/>
      <c r="C2" s="45"/>
      <c r="D2" s="45"/>
      <c r="E2" s="45"/>
      <c r="F2" s="45"/>
      <c r="G2" s="45"/>
      <c r="H2" s="45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>
      <c r="A4" s="1" t="s">
        <v>2</v>
      </c>
      <c r="B4" s="2" t="s">
        <v>3</v>
      </c>
      <c r="C4" s="11"/>
      <c r="D4" s="46" t="s">
        <v>4</v>
      </c>
      <c r="E4" s="47"/>
      <c r="F4" s="47"/>
      <c r="G4" s="47"/>
      <c r="H4" s="48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4" t="s">
        <v>5</v>
      </c>
      <c r="B5" s="5">
        <v>8</v>
      </c>
      <c r="C5" s="11"/>
      <c r="D5" s="49" t="s">
        <v>6</v>
      </c>
      <c r="E5" s="50"/>
      <c r="F5" s="50"/>
      <c r="G5" s="50"/>
      <c r="H5" s="5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>
      <c r="A6" s="4" t="s">
        <v>7</v>
      </c>
      <c r="B6" s="5">
        <f>SUM(PCFP_Sangao!E5:E12)</f>
        <v>145</v>
      </c>
      <c r="C6" s="11"/>
      <c r="D6" s="49"/>
      <c r="E6" s="50"/>
      <c r="F6" s="50"/>
      <c r="G6" s="50"/>
      <c r="H6" s="5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>
      <c r="A7" s="4" t="s">
        <v>8</v>
      </c>
      <c r="B7" s="30">
        <f>ROUND(SUM(PCFP_Sangao!L5:L12),2)</f>
        <v>679635.2</v>
      </c>
      <c r="C7" s="11"/>
      <c r="D7" s="49"/>
      <c r="E7" s="50"/>
      <c r="F7" s="50"/>
      <c r="G7" s="50"/>
      <c r="H7" s="5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>
      <c r="A8" s="6" t="s">
        <v>9</v>
      </c>
      <c r="B8" s="30">
        <f>ROUND(SUM(PCFP_Sangao!M5:M12),2)</f>
        <v>8155622.4000000004</v>
      </c>
      <c r="C8" s="11"/>
      <c r="D8" s="52"/>
      <c r="E8" s="53"/>
      <c r="F8" s="53"/>
      <c r="G8" s="53"/>
      <c r="H8" s="54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>
      <c r="A10" s="55" t="s">
        <v>10</v>
      </c>
      <c r="B10" s="55"/>
      <c r="C10" s="55"/>
      <c r="D10" s="55"/>
      <c r="E10" s="55"/>
      <c r="F10" s="55"/>
      <c r="G10" s="55"/>
      <c r="H10" s="55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A11" s="1" t="s">
        <v>11</v>
      </c>
      <c r="B11" s="3" t="s">
        <v>12</v>
      </c>
      <c r="C11" s="3" t="s">
        <v>13</v>
      </c>
      <c r="D11" s="3" t="s">
        <v>14</v>
      </c>
      <c r="E11" s="3" t="s">
        <v>15</v>
      </c>
      <c r="F11" s="3" t="s">
        <v>16</v>
      </c>
      <c r="G11" s="3" t="s">
        <v>17</v>
      </c>
      <c r="H11" s="2" t="s">
        <v>18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24">
      <c r="A12" s="4">
        <v>1</v>
      </c>
      <c r="B12" s="7" t="s">
        <v>19</v>
      </c>
      <c r="C12" s="7" t="s">
        <v>20</v>
      </c>
      <c r="D12" s="7">
        <v>20</v>
      </c>
      <c r="E12" s="31">
        <f>PCFP_Sangao!D5</f>
        <v>6806.27</v>
      </c>
      <c r="F12" s="31">
        <f>PCFP_Sangao!L5</f>
        <v>136125.40000000002</v>
      </c>
      <c r="G12" s="31">
        <f>PCFP_Sangao!M5</f>
        <v>1633504.8000000003</v>
      </c>
      <c r="H12" s="8" t="s">
        <v>21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24">
      <c r="A13" s="4">
        <v>2</v>
      </c>
      <c r="B13" s="7" t="s">
        <v>22</v>
      </c>
      <c r="C13" s="7" t="s">
        <v>20</v>
      </c>
      <c r="D13" s="7">
        <v>5</v>
      </c>
      <c r="E13" s="31">
        <f>PCFP_Sangao!D6</f>
        <v>5367.64</v>
      </c>
      <c r="F13" s="31">
        <f>PCFP_Sangao!L6</f>
        <v>26838.2</v>
      </c>
      <c r="G13" s="31">
        <f>PCFP_Sangao!M6</f>
        <v>322058.40000000002</v>
      </c>
      <c r="H13" s="8" t="s">
        <v>21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24">
      <c r="A14" s="4">
        <v>3</v>
      </c>
      <c r="B14" s="7" t="s">
        <v>23</v>
      </c>
      <c r="C14" s="7" t="s">
        <v>20</v>
      </c>
      <c r="D14" s="7">
        <v>5</v>
      </c>
      <c r="E14" s="31">
        <f>PCFP_Sangao!D7</f>
        <v>5909.03</v>
      </c>
      <c r="F14" s="31">
        <f>PCFP_Sangao!L7</f>
        <v>29545.149999999998</v>
      </c>
      <c r="G14" s="31">
        <f>PCFP_Sangao!M7</f>
        <v>354541.8</v>
      </c>
      <c r="H14" s="8" t="s">
        <v>21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24">
      <c r="A15" s="4">
        <v>4</v>
      </c>
      <c r="B15" s="7" t="s">
        <v>23</v>
      </c>
      <c r="C15" s="7" t="s">
        <v>24</v>
      </c>
      <c r="D15" s="7">
        <v>25</v>
      </c>
      <c r="E15" s="31">
        <f>PCFP_Sangao!D8</f>
        <v>4861.67</v>
      </c>
      <c r="F15" s="31">
        <f>PCFP_Sangao!L8</f>
        <v>121541.75</v>
      </c>
      <c r="G15" s="31">
        <f>PCFP_Sangao!M8</f>
        <v>1458501</v>
      </c>
      <c r="H15" s="8" t="s">
        <v>21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4">
      <c r="A16" s="4">
        <v>5</v>
      </c>
      <c r="B16" s="7" t="s">
        <v>25</v>
      </c>
      <c r="C16" s="7" t="s">
        <v>24</v>
      </c>
      <c r="D16" s="7">
        <v>60</v>
      </c>
      <c r="E16" s="31">
        <f>PCFP_Sangao!D9</f>
        <v>4162.84</v>
      </c>
      <c r="F16" s="31">
        <f>PCFP_Sangao!L9</f>
        <v>249770.40000000002</v>
      </c>
      <c r="G16" s="31">
        <f>PCFP_Sangao!M9</f>
        <v>2997244.8000000003</v>
      </c>
      <c r="H16" s="8" t="s">
        <v>26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24">
      <c r="A17" s="4">
        <v>6</v>
      </c>
      <c r="B17" s="7" t="s">
        <v>27</v>
      </c>
      <c r="C17" s="7" t="s">
        <v>20</v>
      </c>
      <c r="D17" s="7">
        <v>5</v>
      </c>
      <c r="E17" s="31">
        <f>PCFP_Sangao!D10</f>
        <v>5429.51</v>
      </c>
      <c r="F17" s="31">
        <f>PCFP_Sangao!L10</f>
        <v>27147.550000000003</v>
      </c>
      <c r="G17" s="31">
        <f>PCFP_Sangao!M10</f>
        <v>325770.60000000003</v>
      </c>
      <c r="H17" s="8" t="s">
        <v>21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24">
      <c r="A18" s="4">
        <v>7</v>
      </c>
      <c r="B18" s="7" t="s">
        <v>28</v>
      </c>
      <c r="C18" s="7" t="s">
        <v>20</v>
      </c>
      <c r="D18" s="7">
        <v>5</v>
      </c>
      <c r="E18" s="31">
        <f>PCFP_Sangao!D11</f>
        <v>5429.51</v>
      </c>
      <c r="F18" s="31">
        <f>PCFP_Sangao!L11</f>
        <v>27147.550000000003</v>
      </c>
      <c r="G18" s="31">
        <f>PCFP_Sangao!M11</f>
        <v>325770.60000000003</v>
      </c>
      <c r="H18" s="8" t="s">
        <v>21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4">
      <c r="A19" s="6">
        <v>8</v>
      </c>
      <c r="B19" s="9" t="s">
        <v>28</v>
      </c>
      <c r="C19" s="9" t="s">
        <v>29</v>
      </c>
      <c r="D19" s="9">
        <v>20</v>
      </c>
      <c r="E19" s="31">
        <f>PCFP_Sangao!D12</f>
        <v>3075.96</v>
      </c>
      <c r="F19" s="31">
        <f>PCFP_Sangao!L12</f>
        <v>61519.199999999997</v>
      </c>
      <c r="G19" s="31">
        <f>PCFP_Sangao!M12</f>
        <v>738230.39999999991</v>
      </c>
      <c r="H19" s="10" t="s">
        <v>21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5">
    <mergeCell ref="A1:H1"/>
    <mergeCell ref="A2:H2"/>
    <mergeCell ref="D4:H4"/>
    <mergeCell ref="D5:H8"/>
    <mergeCell ref="A10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00"/>
  <sheetViews>
    <sheetView workbookViewId="0">
      <selection activeCell="B15" sqref="B15:M15"/>
    </sheetView>
  </sheetViews>
  <sheetFormatPr defaultRowHeight="14.25"/>
  <cols>
    <col min="1" max="1" width="12.375" customWidth="1"/>
    <col min="2" max="2" width="26" customWidth="1"/>
    <col min="3" max="3" width="10" customWidth="1"/>
    <col min="4" max="4" width="16" customWidth="1"/>
    <col min="5" max="5" width="9" customWidth="1"/>
    <col min="6" max="7" width="14" customWidth="1"/>
    <col min="8" max="9" width="13" customWidth="1"/>
    <col min="10" max="10" width="12" customWidth="1"/>
    <col min="11" max="11" width="14" customWidth="1"/>
    <col min="12" max="13" width="16" customWidth="1"/>
  </cols>
  <sheetData>
    <row r="1" spans="1:26">
      <c r="A1" s="44" t="s">
        <v>30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57" t="s">
        <v>31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24">
      <c r="A4" s="1" t="s">
        <v>11</v>
      </c>
      <c r="B4" s="3" t="s">
        <v>12</v>
      </c>
      <c r="C4" s="3" t="s">
        <v>13</v>
      </c>
      <c r="D4" s="3" t="s">
        <v>32</v>
      </c>
      <c r="E4" s="3" t="s">
        <v>14</v>
      </c>
      <c r="F4" s="3" t="s">
        <v>33</v>
      </c>
      <c r="G4" s="3" t="s">
        <v>34</v>
      </c>
      <c r="H4" s="3" t="s">
        <v>35</v>
      </c>
      <c r="I4" s="3" t="s">
        <v>36</v>
      </c>
      <c r="J4" s="3" t="s">
        <v>37</v>
      </c>
      <c r="K4" s="3" t="s">
        <v>38</v>
      </c>
      <c r="L4" s="3" t="s">
        <v>16</v>
      </c>
      <c r="M4" s="2" t="s">
        <v>17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73">
        <v>1</v>
      </c>
      <c r="B5" s="7" t="s">
        <v>19</v>
      </c>
      <c r="C5" s="7" t="s">
        <v>20</v>
      </c>
      <c r="D5" s="31">
        <f>PCFP_Detalhada!B58</f>
        <v>6806.27</v>
      </c>
      <c r="E5" s="12">
        <f>PCFP_Detalhada!B5</f>
        <v>20</v>
      </c>
      <c r="F5" s="31">
        <f>PCFP_Detalhada!B12</f>
        <v>2496.27</v>
      </c>
      <c r="G5" s="31">
        <f>PCFP_Detalhada!B26</f>
        <v>2602.0610425999998</v>
      </c>
      <c r="H5" s="31">
        <f>PCFP_Detalhada!B51</f>
        <v>451.20506099280192</v>
      </c>
      <c r="I5" s="31">
        <f>PCFP_Detalhada!B40</f>
        <v>140.56468027119405</v>
      </c>
      <c r="J5" s="31">
        <f>PCFP_Detalhada!B29</f>
        <v>58.885833333333331</v>
      </c>
      <c r="K5" s="31">
        <f>PCFP_Detalhada!B53+PCFP_Detalhada!B54+PCFP_Detalhada!B57</f>
        <v>1057.2848951167505</v>
      </c>
      <c r="L5" s="31">
        <f>PCFP_Detalhada!B59</f>
        <v>136125.40000000002</v>
      </c>
      <c r="M5" s="31">
        <f>PCFP_Detalhada!B60</f>
        <v>1633504.8000000003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>
      <c r="A6" s="73">
        <v>2</v>
      </c>
      <c r="B6" s="7" t="s">
        <v>22</v>
      </c>
      <c r="C6" s="7" t="s">
        <v>20</v>
      </c>
      <c r="D6" s="31">
        <f>PCFP_Detalhada!C58</f>
        <v>5367.64</v>
      </c>
      <c r="E6" s="12">
        <f>PCFP_Detalhada!C5</f>
        <v>5</v>
      </c>
      <c r="F6" s="31">
        <f>PCFP_Detalhada!C12</f>
        <v>1857.54</v>
      </c>
      <c r="G6" s="31">
        <f>PCFP_Detalhada!C26</f>
        <v>2124.0482852000005</v>
      </c>
      <c r="H6" s="31">
        <f>PCFP_Detalhada!C51</f>
        <v>335.75352385622125</v>
      </c>
      <c r="I6" s="31">
        <f>PCFP_Detalhada!C40</f>
        <v>111.33436998238815</v>
      </c>
      <c r="J6" s="31">
        <f>PCFP_Detalhada!C29</f>
        <v>105.15416666666665</v>
      </c>
      <c r="K6" s="31">
        <f>PCFP_Detalhada!C53+PCFP_Detalhada!C54+PCFP_Detalhada!C57</f>
        <v>833.80787966993614</v>
      </c>
      <c r="L6" s="31">
        <f>PCFP_Detalhada!C59</f>
        <v>26838.2</v>
      </c>
      <c r="M6" s="31">
        <f>PCFP_Detalhada!C60</f>
        <v>322058.40000000002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>
      <c r="A7" s="73">
        <v>3</v>
      </c>
      <c r="B7" s="7" t="s">
        <v>23</v>
      </c>
      <c r="C7" s="7" t="s">
        <v>20</v>
      </c>
      <c r="D7" s="31">
        <f>PCFP_Detalhada!D58</f>
        <v>5909.03</v>
      </c>
      <c r="E7" s="12">
        <f>PCFP_Detalhada!D5</f>
        <v>5</v>
      </c>
      <c r="F7" s="31">
        <f>PCFP_Detalhada!D12</f>
        <v>2103.42</v>
      </c>
      <c r="G7" s="31">
        <f>PCFP_Detalhada!D26</f>
        <v>2308.0599596000002</v>
      </c>
      <c r="H7" s="31">
        <f>PCFP_Detalhada!D51</f>
        <v>380.19675331333531</v>
      </c>
      <c r="I7" s="31">
        <f>PCFP_Detalhada!D40</f>
        <v>121.63287739344594</v>
      </c>
      <c r="J7" s="31">
        <f>PCFP_Detalhada!D29</f>
        <v>77.814166666666665</v>
      </c>
      <c r="K7" s="31">
        <f>PCFP_Detalhada!D53+PCFP_Detalhada!D54+PCFP_Detalhada!D57</f>
        <v>917.90781737442762</v>
      </c>
      <c r="L7" s="31">
        <f>PCFP_Detalhada!D59</f>
        <v>29545.149999999998</v>
      </c>
      <c r="M7" s="31">
        <f>PCFP_Detalhada!D60</f>
        <v>354541.8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>
      <c r="A8" s="73">
        <v>4</v>
      </c>
      <c r="B8" s="7" t="s">
        <v>23</v>
      </c>
      <c r="C8" s="7" t="s">
        <v>24</v>
      </c>
      <c r="D8" s="31">
        <f>PCFP_Detalhada!E58</f>
        <v>4861.67</v>
      </c>
      <c r="E8" s="12">
        <f>PCFP_Detalhada!E5</f>
        <v>25</v>
      </c>
      <c r="F8" s="31">
        <f>PCFP_Detalhada!E12</f>
        <v>1720.98</v>
      </c>
      <c r="G8" s="31">
        <f>PCFP_Detalhada!E26</f>
        <v>1895.2384124000005</v>
      </c>
      <c r="H8" s="31">
        <f>PCFP_Detalhada!E51</f>
        <v>311.07007089272889</v>
      </c>
      <c r="I8" s="31">
        <f>PCFP_Detalhada!E40</f>
        <v>101.35842827813927</v>
      </c>
      <c r="J8" s="31">
        <f>PCFP_Detalhada!E29</f>
        <v>77.814166666666665</v>
      </c>
      <c r="K8" s="31">
        <f>PCFP_Detalhada!E53+PCFP_Detalhada!E54+PCFP_Detalhada!E57</f>
        <v>755.21123277931736</v>
      </c>
      <c r="L8" s="31">
        <f>PCFP_Detalhada!E59</f>
        <v>121541.75</v>
      </c>
      <c r="M8" s="31">
        <f>PCFP_Detalhada!E60</f>
        <v>1458501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>
      <c r="A9" s="73">
        <v>5</v>
      </c>
      <c r="B9" s="7" t="s">
        <v>25</v>
      </c>
      <c r="C9" s="7" t="s">
        <v>24</v>
      </c>
      <c r="D9" s="31">
        <f>PCFP_Detalhada!F58</f>
        <v>4162.84</v>
      </c>
      <c r="E9" s="12">
        <f>PCFP_Detalhada!F5</f>
        <v>60</v>
      </c>
      <c r="F9" s="31">
        <f>PCFP_Detalhada!F12</f>
        <v>1434.15</v>
      </c>
      <c r="G9" s="31">
        <f>PCFP_Detalhada!F26</f>
        <v>1680.5805770000002</v>
      </c>
      <c r="H9" s="31">
        <f>PCFP_Detalhada!F51</f>
        <v>259.22505907727407</v>
      </c>
      <c r="I9" s="31">
        <f>PCFP_Detalhada!F40</f>
        <v>84.174668182399998</v>
      </c>
      <c r="J9" s="31">
        <f>PCFP_Detalhada!F29</f>
        <v>58.052500000000002</v>
      </c>
      <c r="K9" s="31">
        <f>PCFP_Detalhada!F53+PCFP_Detalhada!F54+PCFP_Detalhada!F57</f>
        <v>646.65430882936573</v>
      </c>
      <c r="L9" s="31">
        <f>PCFP_Detalhada!F59</f>
        <v>249770.40000000002</v>
      </c>
      <c r="M9" s="31">
        <f>PCFP_Detalhada!F60</f>
        <v>2997244.8000000003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>
      <c r="A10" s="73">
        <v>6</v>
      </c>
      <c r="B10" s="7" t="s">
        <v>27</v>
      </c>
      <c r="C10" s="7" t="s">
        <v>20</v>
      </c>
      <c r="D10" s="31">
        <f>PCFP_Detalhada!G58</f>
        <v>5429.51</v>
      </c>
      <c r="E10" s="12">
        <f>PCFP_Detalhada!G5</f>
        <v>5</v>
      </c>
      <c r="F10" s="31">
        <f>PCFP_Detalhada!G12</f>
        <v>1910.81</v>
      </c>
      <c r="G10" s="31">
        <f>PCFP_Detalhada!G26</f>
        <v>2163.9144877999997</v>
      </c>
      <c r="H10" s="31">
        <f>PCFP_Detalhada!G51</f>
        <v>345.38216723177214</v>
      </c>
      <c r="I10" s="31">
        <f>PCFP_Detalhada!G40</f>
        <v>109.30641871224888</v>
      </c>
      <c r="J10" s="31">
        <f>PCFP_Detalhada!G29</f>
        <v>56.677500000000002</v>
      </c>
      <c r="K10" s="31">
        <f>PCFP_Detalhada!G53+PCFP_Detalhada!G54+PCFP_Detalhada!G57</f>
        <v>843.41895609085429</v>
      </c>
      <c r="L10" s="31">
        <f>PCFP_Detalhada!G59</f>
        <v>27147.550000000003</v>
      </c>
      <c r="M10" s="31">
        <f>PCFP_Detalhada!G60</f>
        <v>325770.60000000003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A11" s="73">
        <v>7</v>
      </c>
      <c r="B11" s="7" t="s">
        <v>28</v>
      </c>
      <c r="C11" s="7" t="s">
        <v>20</v>
      </c>
      <c r="D11" s="31">
        <f>PCFP_Detalhada!H58</f>
        <v>5429.51</v>
      </c>
      <c r="E11" s="12">
        <f>PCFP_Detalhada!H5</f>
        <v>5</v>
      </c>
      <c r="F11" s="31">
        <f>PCFP_Detalhada!H12</f>
        <v>1910.81</v>
      </c>
      <c r="G11" s="31">
        <f>PCFP_Detalhada!H26</f>
        <v>2163.9144877999997</v>
      </c>
      <c r="H11" s="31">
        <f>PCFP_Detalhada!H51</f>
        <v>345.38216723177214</v>
      </c>
      <c r="I11" s="31">
        <f>PCFP_Detalhada!H40</f>
        <v>109.30641871224888</v>
      </c>
      <c r="J11" s="31">
        <f>PCFP_Detalhada!H29</f>
        <v>56.677500000000002</v>
      </c>
      <c r="K11" s="31">
        <f>PCFP_Detalhada!H53+PCFP_Detalhada!H54+PCFP_Detalhada!H57</f>
        <v>843.41895609085429</v>
      </c>
      <c r="L11" s="31">
        <f>PCFP_Detalhada!H59</f>
        <v>27147.550000000003</v>
      </c>
      <c r="M11" s="31">
        <f>PCFP_Detalhada!H60</f>
        <v>325770.60000000003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>
      <c r="A12" s="74">
        <v>8</v>
      </c>
      <c r="B12" s="9" t="s">
        <v>28</v>
      </c>
      <c r="C12" s="9" t="s">
        <v>29</v>
      </c>
      <c r="D12" s="31">
        <f>PCFP_Detalhada!I58</f>
        <v>3075.96</v>
      </c>
      <c r="E12" s="13">
        <f>PCFP_Detalhada!I5</f>
        <v>20</v>
      </c>
      <c r="F12" s="31">
        <f>PCFP_Detalhada!I12</f>
        <v>1042.26</v>
      </c>
      <c r="G12" s="31">
        <f>PCFP_Detalhada!I26</f>
        <v>1247.5520137999999</v>
      </c>
      <c r="H12" s="31">
        <f>PCFP_Detalhada!I51</f>
        <v>188.39027303551211</v>
      </c>
      <c r="I12" s="31">
        <f>PCFP_Detalhada!I40</f>
        <v>63.261620105671106</v>
      </c>
      <c r="J12" s="31">
        <f>PCFP_Detalhada!I29</f>
        <v>56.677500000000002</v>
      </c>
      <c r="K12" s="31">
        <f>PCFP_Detalhada!I53+PCFP_Detalhada!I54+PCFP_Detalhada!I57</f>
        <v>477.81910932251674</v>
      </c>
      <c r="L12" s="31">
        <f>PCFP_Detalhada!I59</f>
        <v>61519.199999999997</v>
      </c>
      <c r="M12" s="31">
        <f>PCFP_Detalhada!I60</f>
        <v>738230.39999999991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>
      <c r="A14" s="58" t="s">
        <v>39</v>
      </c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60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>
      <c r="A15" s="73" t="s">
        <v>40</v>
      </c>
      <c r="B15" s="61" t="s">
        <v>41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2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>
      <c r="A16" s="74" t="s">
        <v>42</v>
      </c>
      <c r="B16" s="63" t="s">
        <v>43</v>
      </c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4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6">
    <mergeCell ref="A18:M18"/>
    <mergeCell ref="A1:M1"/>
    <mergeCell ref="A2:M2"/>
    <mergeCell ref="A14:M14"/>
    <mergeCell ref="B15:M15"/>
    <mergeCell ref="B16:M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200"/>
  <sheetViews>
    <sheetView workbookViewId="0">
      <selection activeCell="B21" sqref="B21"/>
    </sheetView>
  </sheetViews>
  <sheetFormatPr defaultRowHeight="14.25"/>
  <cols>
    <col min="1" max="1" width="16.375" customWidth="1"/>
    <col min="2" max="2" width="72.375" customWidth="1"/>
    <col min="3" max="3" width="18" customWidth="1"/>
    <col min="4" max="4" width="14" customWidth="1"/>
    <col min="5" max="5" width="16" customWidth="1"/>
    <col min="6" max="6" width="27" customWidth="1"/>
    <col min="7" max="7" width="27.625" bestFit="1" customWidth="1"/>
    <col min="8" max="8" width="42" customWidth="1"/>
  </cols>
  <sheetData>
    <row r="1" spans="1:26">
      <c r="A1" s="44" t="s">
        <v>44</v>
      </c>
      <c r="B1" s="44"/>
      <c r="C1" s="44"/>
      <c r="D1" s="44"/>
      <c r="E1" s="44"/>
      <c r="F1" s="44"/>
      <c r="G1" s="44"/>
      <c r="H1" s="4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57" t="s">
        <v>45</v>
      </c>
      <c r="B2" s="57"/>
      <c r="C2" s="57"/>
      <c r="D2" s="57"/>
      <c r="E2" s="57"/>
      <c r="F2" s="57"/>
      <c r="G2" s="57"/>
      <c r="H2" s="57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57"/>
      <c r="B3" s="57"/>
      <c r="C3" s="57"/>
      <c r="D3" s="57"/>
      <c r="E3" s="57"/>
      <c r="F3" s="57"/>
      <c r="G3" s="57"/>
      <c r="H3" s="57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1" t="s">
        <v>46</v>
      </c>
      <c r="B5" s="3" t="s">
        <v>47</v>
      </c>
      <c r="C5" s="3" t="s">
        <v>13</v>
      </c>
      <c r="D5" s="3" t="s">
        <v>48</v>
      </c>
      <c r="E5" s="3" t="s">
        <v>49</v>
      </c>
      <c r="F5" s="3" t="s">
        <v>50</v>
      </c>
      <c r="G5" s="3" t="s">
        <v>51</v>
      </c>
      <c r="H5" s="2" t="s">
        <v>52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>
      <c r="A6" s="73" t="s">
        <v>53</v>
      </c>
      <c r="B6" s="7" t="s">
        <v>54</v>
      </c>
      <c r="C6" s="75" t="s">
        <v>55</v>
      </c>
      <c r="D6" s="75" t="s">
        <v>56</v>
      </c>
      <c r="E6" s="76">
        <v>7319.35</v>
      </c>
      <c r="F6" s="75" t="s">
        <v>57</v>
      </c>
      <c r="G6" s="75" t="s">
        <v>809</v>
      </c>
      <c r="H6" s="8" t="s">
        <v>58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>
      <c r="A7" s="73" t="s">
        <v>59</v>
      </c>
      <c r="B7" s="7" t="s">
        <v>60</v>
      </c>
      <c r="C7" s="75" t="s">
        <v>55</v>
      </c>
      <c r="D7" s="75" t="s">
        <v>61</v>
      </c>
      <c r="E7" s="76">
        <v>5813.31</v>
      </c>
      <c r="F7" s="75" t="s">
        <v>62</v>
      </c>
      <c r="G7" s="75" t="s">
        <v>63</v>
      </c>
      <c r="H7" s="8" t="s">
        <v>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>
      <c r="A8" s="73" t="s">
        <v>64</v>
      </c>
      <c r="B8" s="7" t="s">
        <v>65</v>
      </c>
      <c r="C8" s="75" t="s">
        <v>55</v>
      </c>
      <c r="D8" s="75" t="s">
        <v>66</v>
      </c>
      <c r="E8" s="76">
        <v>6420.86</v>
      </c>
      <c r="F8" s="75" t="s">
        <v>67</v>
      </c>
      <c r="G8" s="75" t="s">
        <v>810</v>
      </c>
      <c r="H8" s="8" t="s">
        <v>58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>
      <c r="A9" s="73" t="s">
        <v>64</v>
      </c>
      <c r="B9" s="7" t="s">
        <v>65</v>
      </c>
      <c r="C9" s="75" t="s">
        <v>68</v>
      </c>
      <c r="D9" s="75" t="s">
        <v>69</v>
      </c>
      <c r="E9" s="76">
        <v>5344.87</v>
      </c>
      <c r="F9" s="75" t="s">
        <v>70</v>
      </c>
      <c r="G9" s="75" t="s">
        <v>113</v>
      </c>
      <c r="H9" s="8" t="s">
        <v>58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>
      <c r="A10" s="73" t="s">
        <v>71</v>
      </c>
      <c r="B10" s="7" t="s">
        <v>72</v>
      </c>
      <c r="C10" s="75" t="s">
        <v>55</v>
      </c>
      <c r="D10" s="75" t="s">
        <v>73</v>
      </c>
      <c r="E10" s="76">
        <v>5767.01</v>
      </c>
      <c r="F10" s="75" t="s">
        <v>74</v>
      </c>
      <c r="G10" s="75" t="s">
        <v>63</v>
      </c>
      <c r="H10" s="8" t="s">
        <v>58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A11" s="73" t="s">
        <v>71</v>
      </c>
      <c r="B11" s="7" t="s">
        <v>75</v>
      </c>
      <c r="C11" s="75" t="s">
        <v>68</v>
      </c>
      <c r="D11" s="75" t="s">
        <v>76</v>
      </c>
      <c r="E11" s="76">
        <v>5889.42</v>
      </c>
      <c r="F11" s="75" t="s">
        <v>77</v>
      </c>
      <c r="G11" s="75" t="s">
        <v>78</v>
      </c>
      <c r="H11" s="8" t="s">
        <v>58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>
      <c r="A12" s="74" t="s">
        <v>71</v>
      </c>
      <c r="B12" s="9" t="s">
        <v>79</v>
      </c>
      <c r="C12" s="77" t="s">
        <v>55</v>
      </c>
      <c r="D12" s="77" t="s">
        <v>80</v>
      </c>
      <c r="E12" s="76">
        <v>10713.45</v>
      </c>
      <c r="F12" s="77" t="s">
        <v>81</v>
      </c>
      <c r="G12" s="77" t="s">
        <v>82</v>
      </c>
      <c r="H12" s="10" t="s">
        <v>58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>
      <c r="A14" s="55" t="s">
        <v>83</v>
      </c>
      <c r="B14" s="55"/>
      <c r="C14" s="55"/>
      <c r="D14" s="55"/>
      <c r="E14" s="55"/>
      <c r="F14" s="55"/>
      <c r="G14" s="55"/>
      <c r="H14" s="55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>
      <c r="A15" s="1" t="s">
        <v>84</v>
      </c>
      <c r="B15" s="2" t="s">
        <v>85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>
      <c r="A16" s="4" t="s">
        <v>86</v>
      </c>
      <c r="B16" s="8" t="s">
        <v>87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4" t="s">
        <v>88</v>
      </c>
      <c r="B17" s="8" t="s">
        <v>89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>
      <c r="A18" s="4" t="s">
        <v>90</v>
      </c>
      <c r="B18" s="8" t="s">
        <v>91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8" customHeight="1">
      <c r="A19" s="6" t="s">
        <v>92</v>
      </c>
      <c r="B19" s="10" t="s">
        <v>93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3">
    <mergeCell ref="A1:H1"/>
    <mergeCell ref="A2:H3"/>
    <mergeCell ref="A14:H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200"/>
  <sheetViews>
    <sheetView topLeftCell="A4" workbookViewId="0">
      <selection activeCell="B9" sqref="B9"/>
    </sheetView>
  </sheetViews>
  <sheetFormatPr defaultRowHeight="14.25"/>
  <cols>
    <col min="1" max="1" width="7" customWidth="1"/>
    <col min="2" max="3" width="24" customWidth="1"/>
    <col min="4" max="4" width="21" customWidth="1"/>
    <col min="5" max="6" width="13" customWidth="1"/>
    <col min="7" max="7" width="23" customWidth="1"/>
    <col min="8" max="9" width="17" customWidth="1"/>
    <col min="10" max="10" width="16" customWidth="1"/>
    <col min="11" max="11" width="26.125" customWidth="1"/>
    <col min="12" max="12" width="85.5" customWidth="1"/>
    <col min="13" max="13" width="131.25" customWidth="1"/>
  </cols>
  <sheetData>
    <row r="1" spans="1:26">
      <c r="A1" s="44" t="s">
        <v>94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57" t="s">
        <v>95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1" t="s">
        <v>96</v>
      </c>
      <c r="B5" s="3" t="s">
        <v>97</v>
      </c>
      <c r="C5" s="3" t="s">
        <v>98</v>
      </c>
      <c r="D5" s="3" t="s">
        <v>99</v>
      </c>
      <c r="E5" s="3" t="s">
        <v>100</v>
      </c>
      <c r="F5" s="3" t="s">
        <v>101</v>
      </c>
      <c r="G5" s="3" t="s">
        <v>102</v>
      </c>
      <c r="H5" s="3" t="s">
        <v>103</v>
      </c>
      <c r="I5" s="3" t="s">
        <v>104</v>
      </c>
      <c r="J5" s="3" t="s">
        <v>51</v>
      </c>
      <c r="K5" s="3" t="s">
        <v>105</v>
      </c>
      <c r="L5" s="3" t="s">
        <v>106</v>
      </c>
      <c r="M5" s="2" t="s">
        <v>107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36">
      <c r="A6" s="78" t="s">
        <v>108</v>
      </c>
      <c r="B6" s="79" t="s">
        <v>62</v>
      </c>
      <c r="C6" s="79" t="s">
        <v>109</v>
      </c>
      <c r="D6" s="79" t="s">
        <v>110</v>
      </c>
      <c r="E6" s="79" t="s">
        <v>111</v>
      </c>
      <c r="F6" s="79" t="s">
        <v>20</v>
      </c>
      <c r="G6" s="79" t="s">
        <v>112</v>
      </c>
      <c r="H6" s="80">
        <f>I6/2</f>
        <v>3862.79</v>
      </c>
      <c r="I6" s="80">
        <v>7725.58</v>
      </c>
      <c r="J6" s="24" t="s">
        <v>113</v>
      </c>
      <c r="K6" s="24" t="s">
        <v>114</v>
      </c>
      <c r="L6" s="24" t="s">
        <v>115</v>
      </c>
      <c r="M6" s="25" t="s">
        <v>116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4">
      <c r="A7" s="78" t="s">
        <v>117</v>
      </c>
      <c r="B7" s="79" t="s">
        <v>62</v>
      </c>
      <c r="C7" s="79" t="s">
        <v>118</v>
      </c>
      <c r="D7" s="79" t="s">
        <v>119</v>
      </c>
      <c r="E7" s="79" t="s">
        <v>120</v>
      </c>
      <c r="F7" s="79" t="s">
        <v>20</v>
      </c>
      <c r="G7" s="79" t="s">
        <v>121</v>
      </c>
      <c r="H7" s="80">
        <v>3962.6</v>
      </c>
      <c r="I7" s="80">
        <v>475512</v>
      </c>
      <c r="J7" s="24" t="s">
        <v>113</v>
      </c>
      <c r="K7" s="24" t="s">
        <v>114</v>
      </c>
      <c r="L7" s="24" t="s">
        <v>122</v>
      </c>
      <c r="M7" s="25" t="s">
        <v>123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24">
      <c r="A8" s="78" t="s">
        <v>124</v>
      </c>
      <c r="B8" s="79" t="s">
        <v>67</v>
      </c>
      <c r="C8" s="79" t="s">
        <v>118</v>
      </c>
      <c r="D8" s="79" t="s">
        <v>119</v>
      </c>
      <c r="E8" s="79" t="s">
        <v>120</v>
      </c>
      <c r="F8" s="79" t="s">
        <v>20</v>
      </c>
      <c r="G8" s="79" t="s">
        <v>121</v>
      </c>
      <c r="H8" s="80">
        <v>4247.22</v>
      </c>
      <c r="I8" s="80">
        <v>1223199.3600000001</v>
      </c>
      <c r="J8" s="24" t="s">
        <v>113</v>
      </c>
      <c r="K8" s="24" t="s">
        <v>114</v>
      </c>
      <c r="L8" s="24" t="s">
        <v>125</v>
      </c>
      <c r="M8" s="25" t="s">
        <v>123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>
      <c r="A9" s="81" t="s">
        <v>126</v>
      </c>
      <c r="B9" s="82" t="s">
        <v>67</v>
      </c>
      <c r="C9" s="82" t="s">
        <v>127</v>
      </c>
      <c r="D9" s="82" t="s">
        <v>128</v>
      </c>
      <c r="E9" s="82" t="s">
        <v>129</v>
      </c>
      <c r="F9" s="82" t="s">
        <v>130</v>
      </c>
      <c r="G9" s="82" t="s">
        <v>131</v>
      </c>
      <c r="H9" s="83"/>
      <c r="I9" s="83">
        <v>53340</v>
      </c>
      <c r="J9" s="14" t="s">
        <v>132</v>
      </c>
      <c r="K9" s="14" t="s">
        <v>114</v>
      </c>
      <c r="L9" s="14" t="s">
        <v>133</v>
      </c>
      <c r="M9" s="15" t="s">
        <v>134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>
      <c r="A10" s="81" t="s">
        <v>135</v>
      </c>
      <c r="B10" s="82" t="s">
        <v>62</v>
      </c>
      <c r="C10" s="82" t="s">
        <v>136</v>
      </c>
      <c r="D10" s="82" t="s">
        <v>137</v>
      </c>
      <c r="E10" s="82" t="s">
        <v>138</v>
      </c>
      <c r="F10" s="82" t="s">
        <v>20</v>
      </c>
      <c r="G10" s="82" t="s">
        <v>139</v>
      </c>
      <c r="H10" s="83">
        <v>5120.8</v>
      </c>
      <c r="I10" s="83"/>
      <c r="J10" s="14" t="s">
        <v>140</v>
      </c>
      <c r="K10" s="14" t="s">
        <v>114</v>
      </c>
      <c r="L10" s="14" t="s">
        <v>141</v>
      </c>
      <c r="M10" s="15" t="s">
        <v>142</v>
      </c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A11" s="73" t="s">
        <v>143</v>
      </c>
      <c r="B11" s="75" t="s">
        <v>144</v>
      </c>
      <c r="C11" s="75" t="s">
        <v>145</v>
      </c>
      <c r="D11" s="75" t="s">
        <v>146</v>
      </c>
      <c r="E11" s="75" t="s">
        <v>147</v>
      </c>
      <c r="F11" s="75" t="s">
        <v>24</v>
      </c>
      <c r="G11" s="75" t="s">
        <v>148</v>
      </c>
      <c r="H11" s="76">
        <v>5951.58</v>
      </c>
      <c r="I11" s="76"/>
      <c r="J11" s="7" t="s">
        <v>149</v>
      </c>
      <c r="K11" s="7" t="s">
        <v>114</v>
      </c>
      <c r="L11" s="7" t="s">
        <v>150</v>
      </c>
      <c r="M11" s="8" t="s">
        <v>151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24">
      <c r="A12" s="73" t="s">
        <v>152</v>
      </c>
      <c r="B12" s="75" t="s">
        <v>144</v>
      </c>
      <c r="C12" s="75" t="s">
        <v>145</v>
      </c>
      <c r="D12" s="75" t="s">
        <v>146</v>
      </c>
      <c r="E12" s="75" t="s">
        <v>147</v>
      </c>
      <c r="F12" s="75" t="s">
        <v>24</v>
      </c>
      <c r="G12" s="75" t="s">
        <v>153</v>
      </c>
      <c r="H12" s="76">
        <v>6449.28</v>
      </c>
      <c r="I12" s="76"/>
      <c r="J12" s="7" t="s">
        <v>154</v>
      </c>
      <c r="K12" s="7" t="s">
        <v>114</v>
      </c>
      <c r="L12" s="7" t="s">
        <v>155</v>
      </c>
      <c r="M12" s="8" t="s">
        <v>151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A13" s="73" t="s">
        <v>156</v>
      </c>
      <c r="B13" s="75" t="s">
        <v>144</v>
      </c>
      <c r="C13" s="75" t="s">
        <v>157</v>
      </c>
      <c r="D13" s="75" t="s">
        <v>158</v>
      </c>
      <c r="E13" s="75" t="s">
        <v>159</v>
      </c>
      <c r="F13" s="75" t="s">
        <v>24</v>
      </c>
      <c r="G13" s="75" t="s">
        <v>160</v>
      </c>
      <c r="H13" s="76">
        <v>2513.5075000000002</v>
      </c>
      <c r="I13" s="76"/>
      <c r="J13" s="7" t="s">
        <v>149</v>
      </c>
      <c r="K13" s="7" t="s">
        <v>114</v>
      </c>
      <c r="L13" s="7" t="s">
        <v>161</v>
      </c>
      <c r="M13" s="8" t="s">
        <v>162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24">
      <c r="A14" s="73" t="s">
        <v>163</v>
      </c>
      <c r="B14" s="75" t="s">
        <v>67</v>
      </c>
      <c r="C14" s="75" t="s">
        <v>164</v>
      </c>
      <c r="D14" s="75" t="s">
        <v>165</v>
      </c>
      <c r="E14" s="75" t="s">
        <v>166</v>
      </c>
      <c r="F14" s="75" t="s">
        <v>20</v>
      </c>
      <c r="G14" s="75" t="s">
        <v>167</v>
      </c>
      <c r="H14" s="76">
        <v>4453.6400000000003</v>
      </c>
      <c r="I14" s="76"/>
      <c r="J14" s="7" t="s">
        <v>140</v>
      </c>
      <c r="K14" s="7" t="s">
        <v>114</v>
      </c>
      <c r="L14" s="7" t="s">
        <v>168</v>
      </c>
      <c r="M14" s="8" t="s">
        <v>169</v>
      </c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24">
      <c r="A15" s="73" t="s">
        <v>170</v>
      </c>
      <c r="B15" s="75" t="s">
        <v>67</v>
      </c>
      <c r="C15" s="75" t="s">
        <v>164</v>
      </c>
      <c r="D15" s="75" t="s">
        <v>165</v>
      </c>
      <c r="E15" s="75" t="s">
        <v>166</v>
      </c>
      <c r="F15" s="75" t="s">
        <v>20</v>
      </c>
      <c r="G15" s="75" t="s">
        <v>167</v>
      </c>
      <c r="H15" s="76">
        <v>4526.41</v>
      </c>
      <c r="I15" s="76"/>
      <c r="J15" s="7" t="s">
        <v>140</v>
      </c>
      <c r="K15" s="7" t="s">
        <v>114</v>
      </c>
      <c r="L15" s="7" t="s">
        <v>171</v>
      </c>
      <c r="M15" s="8" t="s">
        <v>169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4">
      <c r="A16" s="73" t="s">
        <v>172</v>
      </c>
      <c r="B16" s="75" t="s">
        <v>70</v>
      </c>
      <c r="C16" s="75" t="s">
        <v>164</v>
      </c>
      <c r="D16" s="75" t="s">
        <v>165</v>
      </c>
      <c r="E16" s="75" t="s">
        <v>166</v>
      </c>
      <c r="F16" s="75" t="s">
        <v>24</v>
      </c>
      <c r="G16" s="75" t="s">
        <v>167</v>
      </c>
      <c r="H16" s="76">
        <v>3759.61</v>
      </c>
      <c r="I16" s="76"/>
      <c r="J16" s="7" t="s">
        <v>140</v>
      </c>
      <c r="K16" s="7" t="s">
        <v>114</v>
      </c>
      <c r="L16" s="7" t="s">
        <v>173</v>
      </c>
      <c r="M16" s="8" t="s">
        <v>169</v>
      </c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73" t="s">
        <v>174</v>
      </c>
      <c r="B17" s="75" t="s">
        <v>81</v>
      </c>
      <c r="C17" s="75" t="s">
        <v>136</v>
      </c>
      <c r="D17" s="75" t="s">
        <v>137</v>
      </c>
      <c r="E17" s="75" t="s">
        <v>138</v>
      </c>
      <c r="F17" s="75" t="s">
        <v>20</v>
      </c>
      <c r="G17" s="75" t="s">
        <v>139</v>
      </c>
      <c r="H17" s="76">
        <v>5606.64</v>
      </c>
      <c r="I17" s="76"/>
      <c r="J17" s="7" t="s">
        <v>140</v>
      </c>
      <c r="K17" s="7" t="s">
        <v>114</v>
      </c>
      <c r="L17" s="7" t="s">
        <v>175</v>
      </c>
      <c r="M17" s="8" t="s">
        <v>142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24">
      <c r="A18" s="73" t="s">
        <v>176</v>
      </c>
      <c r="B18" s="75" t="s">
        <v>81</v>
      </c>
      <c r="C18" s="75" t="s">
        <v>164</v>
      </c>
      <c r="D18" s="75" t="s">
        <v>177</v>
      </c>
      <c r="E18" s="75" t="s">
        <v>178</v>
      </c>
      <c r="F18" s="75" t="s">
        <v>20</v>
      </c>
      <c r="G18" s="75" t="s">
        <v>167</v>
      </c>
      <c r="H18" s="76">
        <v>5956.67</v>
      </c>
      <c r="I18" s="76"/>
      <c r="J18" s="7" t="s">
        <v>140</v>
      </c>
      <c r="K18" s="7" t="s">
        <v>114</v>
      </c>
      <c r="L18" s="7" t="s">
        <v>179</v>
      </c>
      <c r="M18" s="8" t="s">
        <v>180</v>
      </c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4">
      <c r="A19" s="73" t="s">
        <v>181</v>
      </c>
      <c r="B19" s="75" t="s">
        <v>81</v>
      </c>
      <c r="C19" s="75" t="s">
        <v>164</v>
      </c>
      <c r="D19" s="75" t="s">
        <v>182</v>
      </c>
      <c r="E19" s="75" t="s">
        <v>183</v>
      </c>
      <c r="F19" s="75" t="s">
        <v>20</v>
      </c>
      <c r="G19" s="75" t="s">
        <v>167</v>
      </c>
      <c r="H19" s="76">
        <v>5714.38</v>
      </c>
      <c r="I19" s="76"/>
      <c r="J19" s="7" t="s">
        <v>184</v>
      </c>
      <c r="K19" s="7" t="s">
        <v>185</v>
      </c>
      <c r="L19" s="7" t="s">
        <v>186</v>
      </c>
      <c r="M19" s="8" t="s">
        <v>187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4">
      <c r="A20" s="73" t="s">
        <v>188</v>
      </c>
      <c r="B20" s="75" t="s">
        <v>81</v>
      </c>
      <c r="C20" s="75" t="s">
        <v>164</v>
      </c>
      <c r="D20" s="75" t="s">
        <v>189</v>
      </c>
      <c r="E20" s="75" t="s">
        <v>183</v>
      </c>
      <c r="F20" s="75" t="s">
        <v>20</v>
      </c>
      <c r="G20" s="75" t="s">
        <v>167</v>
      </c>
      <c r="H20" s="76">
        <v>5761.41</v>
      </c>
      <c r="I20" s="76"/>
      <c r="J20" s="7" t="s">
        <v>184</v>
      </c>
      <c r="K20" s="7" t="s">
        <v>185</v>
      </c>
      <c r="L20" s="7" t="s">
        <v>186</v>
      </c>
      <c r="M20" s="8" t="s">
        <v>190</v>
      </c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A21" s="73" t="s">
        <v>191</v>
      </c>
      <c r="B21" s="75" t="s">
        <v>192</v>
      </c>
      <c r="C21" s="75" t="s">
        <v>136</v>
      </c>
      <c r="D21" s="75" t="s">
        <v>137</v>
      </c>
      <c r="E21" s="75" t="s">
        <v>138</v>
      </c>
      <c r="F21" s="75" t="s">
        <v>29</v>
      </c>
      <c r="G21" s="75" t="s">
        <v>139</v>
      </c>
      <c r="H21" s="76">
        <v>3475.62</v>
      </c>
      <c r="I21" s="76"/>
      <c r="J21" s="7" t="s">
        <v>140</v>
      </c>
      <c r="K21" s="7" t="s">
        <v>114</v>
      </c>
      <c r="L21" s="7" t="s">
        <v>193</v>
      </c>
      <c r="M21" s="8" t="s">
        <v>142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24">
      <c r="A22" s="74" t="s">
        <v>194</v>
      </c>
      <c r="B22" s="77" t="s">
        <v>81</v>
      </c>
      <c r="C22" s="77" t="s">
        <v>164</v>
      </c>
      <c r="D22" s="77" t="s">
        <v>195</v>
      </c>
      <c r="E22" s="77" t="s">
        <v>183</v>
      </c>
      <c r="F22" s="77" t="s">
        <v>20</v>
      </c>
      <c r="G22" s="77" t="s">
        <v>167</v>
      </c>
      <c r="H22" s="76">
        <v>5779.73</v>
      </c>
      <c r="I22" s="76"/>
      <c r="J22" s="9" t="s">
        <v>184</v>
      </c>
      <c r="K22" s="9" t="s">
        <v>185</v>
      </c>
      <c r="L22" s="9" t="s">
        <v>186</v>
      </c>
      <c r="M22" s="10" t="s">
        <v>196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21"/>
      <c r="B23" s="22"/>
      <c r="C23" s="22"/>
      <c r="D23" s="22"/>
      <c r="E23" s="22"/>
      <c r="F23" s="22"/>
      <c r="G23" s="22"/>
      <c r="H23" s="31"/>
      <c r="I23" s="31"/>
      <c r="J23" s="22"/>
      <c r="K23" s="22"/>
      <c r="L23" s="22"/>
      <c r="M23" s="2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11"/>
      <c r="B24" s="11"/>
      <c r="C24" s="11"/>
      <c r="D24" s="11"/>
      <c r="E24" s="11"/>
      <c r="F24" s="11"/>
      <c r="G24" s="11"/>
      <c r="H24" s="32"/>
      <c r="I24" s="32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32"/>
      <c r="I25" s="32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32"/>
      <c r="I26" s="32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32"/>
      <c r="I27" s="32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32"/>
      <c r="I28" s="32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32"/>
      <c r="I29" s="32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32"/>
      <c r="I30" s="32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2">
    <mergeCell ref="A1:M1"/>
    <mergeCell ref="A2:M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200"/>
  <sheetViews>
    <sheetView workbookViewId="0">
      <selection activeCell="A6" sqref="A6:H13"/>
    </sheetView>
  </sheetViews>
  <sheetFormatPr defaultRowHeight="14.25"/>
  <cols>
    <col min="1" max="1" width="7" customWidth="1"/>
    <col min="2" max="2" width="24" customWidth="1"/>
    <col min="3" max="3" width="10" customWidth="1"/>
    <col min="4" max="4" width="8" customWidth="1"/>
    <col min="5" max="6" width="15" customWidth="1"/>
    <col min="7" max="7" width="14" customWidth="1"/>
    <col min="8" max="8" width="10" customWidth="1"/>
    <col min="9" max="9" width="42" customWidth="1"/>
    <col min="10" max="10" width="24" customWidth="1"/>
    <col min="11" max="11" width="15" customWidth="1"/>
    <col min="12" max="12" width="44" customWidth="1"/>
    <col min="13" max="14" width="15" customWidth="1"/>
  </cols>
  <sheetData>
    <row r="1" spans="1:26">
      <c r="A1" s="44" t="s">
        <v>197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57" t="s">
        <v>198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1" t="s">
        <v>11</v>
      </c>
      <c r="B5" s="3" t="s">
        <v>12</v>
      </c>
      <c r="C5" s="3" t="s">
        <v>13</v>
      </c>
      <c r="D5" s="3" t="s">
        <v>14</v>
      </c>
      <c r="E5" s="3" t="s">
        <v>199</v>
      </c>
      <c r="F5" s="3" t="s">
        <v>200</v>
      </c>
      <c r="G5" s="3" t="s">
        <v>201</v>
      </c>
      <c r="H5" s="3" t="s">
        <v>202</v>
      </c>
      <c r="I5" s="3" t="s">
        <v>203</v>
      </c>
      <c r="J5" s="3" t="s">
        <v>204</v>
      </c>
      <c r="K5" s="3" t="s">
        <v>205</v>
      </c>
      <c r="L5" s="3" t="s">
        <v>206</v>
      </c>
      <c r="M5" s="3" t="s">
        <v>207</v>
      </c>
      <c r="N5" s="2" t="s">
        <v>42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24">
      <c r="A6" s="73">
        <v>1</v>
      </c>
      <c r="B6" s="75" t="s">
        <v>19</v>
      </c>
      <c r="C6" s="75" t="s">
        <v>20</v>
      </c>
      <c r="D6" s="75">
        <v>20</v>
      </c>
      <c r="E6" s="76">
        <f>PCFP_Sangao!D5</f>
        <v>6806.27</v>
      </c>
      <c r="F6" s="76">
        <v>7319.35</v>
      </c>
      <c r="G6" s="76">
        <f t="shared" ref="G6:G13" si="0">IF(F6="","",ROUND(E6-F6,2))</f>
        <v>-513.08000000000004</v>
      </c>
      <c r="H6" s="84">
        <f t="shared" ref="H6:H13" si="1">IF(F6="","",E6/F6-1)</f>
        <v>-7.0099120823570393E-2</v>
      </c>
      <c r="I6" s="7" t="s">
        <v>208</v>
      </c>
      <c r="J6" s="7" t="s">
        <v>209</v>
      </c>
      <c r="K6" s="31" t="s">
        <v>210</v>
      </c>
      <c r="L6" s="7" t="s">
        <v>211</v>
      </c>
      <c r="M6" s="31">
        <f>PCFP_Sangao!D5</f>
        <v>6806.27</v>
      </c>
      <c r="N6" s="16" t="s">
        <v>212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4">
      <c r="A7" s="73">
        <v>2</v>
      </c>
      <c r="B7" s="75" t="s">
        <v>22</v>
      </c>
      <c r="C7" s="75" t="s">
        <v>20</v>
      </c>
      <c r="D7" s="75">
        <v>5</v>
      </c>
      <c r="E7" s="76">
        <f>PCFP_Sangao!D6</f>
        <v>5367.64</v>
      </c>
      <c r="F7" s="76">
        <v>5813.31</v>
      </c>
      <c r="G7" s="76">
        <f t="shared" si="0"/>
        <v>-445.67</v>
      </c>
      <c r="H7" s="84">
        <f t="shared" si="1"/>
        <v>-7.6663725141098649E-2</v>
      </c>
      <c r="I7" s="7" t="s">
        <v>213</v>
      </c>
      <c r="J7" s="7" t="s">
        <v>214</v>
      </c>
      <c r="K7" s="31" t="s">
        <v>210</v>
      </c>
      <c r="L7" s="7" t="s">
        <v>211</v>
      </c>
      <c r="M7" s="31">
        <f>PCFP_Sangao!D6</f>
        <v>5367.64</v>
      </c>
      <c r="N7" s="16" t="s">
        <v>212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24">
      <c r="A8" s="73">
        <v>3</v>
      </c>
      <c r="B8" s="75" t="s">
        <v>23</v>
      </c>
      <c r="C8" s="75" t="s">
        <v>20</v>
      </c>
      <c r="D8" s="75">
        <v>5</v>
      </c>
      <c r="E8" s="76">
        <f>PCFP_Sangao!D7</f>
        <v>5909.03</v>
      </c>
      <c r="F8" s="76">
        <v>6420.86</v>
      </c>
      <c r="G8" s="76">
        <f t="shared" si="0"/>
        <v>-511.83</v>
      </c>
      <c r="H8" s="84">
        <f t="shared" si="1"/>
        <v>-7.9713620916824213E-2</v>
      </c>
      <c r="I8" s="7" t="s">
        <v>215</v>
      </c>
      <c r="J8" s="7" t="s">
        <v>216</v>
      </c>
      <c r="K8" s="31" t="s">
        <v>210</v>
      </c>
      <c r="L8" s="7" t="s">
        <v>211</v>
      </c>
      <c r="M8" s="31">
        <f>PCFP_Sangao!D7</f>
        <v>5909.03</v>
      </c>
      <c r="N8" s="16" t="s">
        <v>212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4">
      <c r="A9" s="73">
        <v>4</v>
      </c>
      <c r="B9" s="75" t="s">
        <v>23</v>
      </c>
      <c r="C9" s="75" t="s">
        <v>24</v>
      </c>
      <c r="D9" s="75">
        <v>25</v>
      </c>
      <c r="E9" s="76">
        <f>PCFP_Sangao!D8</f>
        <v>4861.67</v>
      </c>
      <c r="F9" s="76">
        <v>5344.87</v>
      </c>
      <c r="G9" s="76">
        <f t="shared" si="0"/>
        <v>-483.2</v>
      </c>
      <c r="H9" s="84">
        <f t="shared" si="1"/>
        <v>-9.0404443887316166E-2</v>
      </c>
      <c r="I9" s="7" t="s">
        <v>217</v>
      </c>
      <c r="J9" s="7" t="s">
        <v>218</v>
      </c>
      <c r="K9" s="31" t="s">
        <v>210</v>
      </c>
      <c r="L9" s="7" t="s">
        <v>211</v>
      </c>
      <c r="M9" s="31">
        <f>PCFP_Sangao!D8</f>
        <v>4861.67</v>
      </c>
      <c r="N9" s="16" t="s">
        <v>212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24">
      <c r="A10" s="73">
        <v>5</v>
      </c>
      <c r="B10" s="75" t="s">
        <v>25</v>
      </c>
      <c r="C10" s="75" t="s">
        <v>24</v>
      </c>
      <c r="D10" s="75">
        <v>60</v>
      </c>
      <c r="E10" s="76">
        <f>PCFP_Sangao!D9</f>
        <v>4162.84</v>
      </c>
      <c r="F10" s="76"/>
      <c r="G10" s="76" t="str">
        <f t="shared" si="0"/>
        <v/>
      </c>
      <c r="H10" s="84" t="str">
        <f t="shared" si="1"/>
        <v/>
      </c>
      <c r="I10" s="7" t="s">
        <v>219</v>
      </c>
      <c r="J10" s="7" t="s">
        <v>220</v>
      </c>
      <c r="K10" s="31" t="s">
        <v>210</v>
      </c>
      <c r="L10" s="7" t="s">
        <v>211</v>
      </c>
      <c r="M10" s="31">
        <f>PCFP_Sangao!D9</f>
        <v>4162.84</v>
      </c>
      <c r="N10" s="16" t="s">
        <v>212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24">
      <c r="A11" s="73">
        <v>6</v>
      </c>
      <c r="B11" s="75" t="s">
        <v>27</v>
      </c>
      <c r="C11" s="75" t="s">
        <v>20</v>
      </c>
      <c r="D11" s="75">
        <v>5</v>
      </c>
      <c r="E11" s="76">
        <f>PCFP_Sangao!D10</f>
        <v>5429.51</v>
      </c>
      <c r="F11" s="76">
        <v>5767.01</v>
      </c>
      <c r="G11" s="76">
        <f t="shared" si="0"/>
        <v>-337.5</v>
      </c>
      <c r="H11" s="84">
        <f t="shared" si="1"/>
        <v>-5.852252727149776E-2</v>
      </c>
      <c r="I11" s="7" t="s">
        <v>208</v>
      </c>
      <c r="J11" s="7" t="s">
        <v>209</v>
      </c>
      <c r="K11" s="31" t="s">
        <v>210</v>
      </c>
      <c r="L11" s="7" t="s">
        <v>211</v>
      </c>
      <c r="M11" s="31">
        <f>PCFP_Sangao!D10</f>
        <v>5429.51</v>
      </c>
      <c r="N11" s="16" t="s">
        <v>212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24">
      <c r="A12" s="73">
        <v>7</v>
      </c>
      <c r="B12" s="75" t="s">
        <v>28</v>
      </c>
      <c r="C12" s="75" t="s">
        <v>20</v>
      </c>
      <c r="D12" s="75">
        <v>5</v>
      </c>
      <c r="E12" s="76">
        <f>PCFP_Sangao!D11</f>
        <v>5429.51</v>
      </c>
      <c r="F12" s="76"/>
      <c r="G12" s="76" t="str">
        <f t="shared" si="0"/>
        <v/>
      </c>
      <c r="H12" s="84" t="str">
        <f t="shared" si="1"/>
        <v/>
      </c>
      <c r="I12" s="7" t="s">
        <v>221</v>
      </c>
      <c r="J12" s="7" t="s">
        <v>220</v>
      </c>
      <c r="K12" s="31" t="s">
        <v>210</v>
      </c>
      <c r="L12" s="7" t="s">
        <v>211</v>
      </c>
      <c r="M12" s="31">
        <f>PCFP_Sangao!D11</f>
        <v>5429.51</v>
      </c>
      <c r="N12" s="16" t="s">
        <v>212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24">
      <c r="A13" s="74">
        <v>8</v>
      </c>
      <c r="B13" s="77" t="s">
        <v>28</v>
      </c>
      <c r="C13" s="77" t="s">
        <v>29</v>
      </c>
      <c r="D13" s="77">
        <v>20</v>
      </c>
      <c r="E13" s="76">
        <f>PCFP_Sangao!D12</f>
        <v>3075.96</v>
      </c>
      <c r="F13" s="76"/>
      <c r="G13" s="76" t="str">
        <f t="shared" si="0"/>
        <v/>
      </c>
      <c r="H13" s="84" t="str">
        <f t="shared" si="1"/>
        <v/>
      </c>
      <c r="I13" s="9" t="s">
        <v>222</v>
      </c>
      <c r="J13" s="9" t="s">
        <v>223</v>
      </c>
      <c r="K13" s="31" t="s">
        <v>210</v>
      </c>
      <c r="L13" s="9" t="s">
        <v>211</v>
      </c>
      <c r="M13" s="31">
        <f>PCFP_Sangao!D12</f>
        <v>3075.96</v>
      </c>
      <c r="N13" s="17" t="s">
        <v>212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 t="s">
        <v>12</v>
      </c>
      <c r="Q16" s="11" t="s">
        <v>199</v>
      </c>
      <c r="R16" s="11" t="s">
        <v>200</v>
      </c>
      <c r="S16" s="11"/>
      <c r="T16" s="11"/>
      <c r="U16" s="11"/>
      <c r="V16" s="11"/>
      <c r="W16" s="11"/>
      <c r="X16" s="11"/>
      <c r="Y16" s="11"/>
      <c r="Z16" s="11"/>
    </row>
    <row r="17" spans="1:2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 t="s">
        <v>19</v>
      </c>
      <c r="Q17" s="11">
        <f>PCFP_Sangao!D5</f>
        <v>6806.27</v>
      </c>
      <c r="R17" s="11">
        <v>7319.35</v>
      </c>
      <c r="S17" s="11"/>
      <c r="T17" s="11"/>
      <c r="U17" s="11"/>
      <c r="V17" s="11"/>
      <c r="W17" s="11"/>
      <c r="X17" s="11"/>
      <c r="Y17" s="11"/>
      <c r="Z17" s="11"/>
    </row>
    <row r="18" spans="1:26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 t="s">
        <v>22</v>
      </c>
      <c r="Q18" s="11">
        <f>PCFP_Sangao!D6</f>
        <v>5367.64</v>
      </c>
      <c r="R18" s="11">
        <v>5813.31</v>
      </c>
      <c r="S18" s="11"/>
      <c r="T18" s="11"/>
      <c r="U18" s="11"/>
      <c r="V18" s="11"/>
      <c r="W18" s="11"/>
      <c r="X18" s="11"/>
      <c r="Y18" s="11"/>
      <c r="Z18" s="11"/>
    </row>
    <row r="19" spans="1:26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 t="s">
        <v>224</v>
      </c>
      <c r="Q19" s="11">
        <f>PCFP_Sangao!D7</f>
        <v>5909.03</v>
      </c>
      <c r="R19" s="11">
        <v>6420.86</v>
      </c>
      <c r="S19" s="11"/>
      <c r="T19" s="11"/>
      <c r="U19" s="11"/>
      <c r="V19" s="11"/>
      <c r="W19" s="11"/>
      <c r="X19" s="11"/>
      <c r="Y19" s="11"/>
      <c r="Z19" s="11"/>
    </row>
    <row r="20" spans="1:2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225</v>
      </c>
      <c r="Q20" s="11">
        <f>PCFP_Sangao!D8</f>
        <v>4861.67</v>
      </c>
      <c r="R20" s="11">
        <v>5344.87</v>
      </c>
      <c r="S20" s="11"/>
      <c r="T20" s="11"/>
      <c r="U20" s="11"/>
      <c r="V20" s="11"/>
      <c r="W20" s="11"/>
      <c r="X20" s="11"/>
      <c r="Y20" s="11"/>
      <c r="Z20" s="11"/>
    </row>
    <row r="21" spans="1:26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 t="s">
        <v>226</v>
      </c>
      <c r="Q21" s="11">
        <f>PCFP_Sangao!D10</f>
        <v>5429.51</v>
      </c>
      <c r="R21" s="11">
        <v>5767.01</v>
      </c>
      <c r="S21" s="11"/>
      <c r="T21" s="11"/>
      <c r="U21" s="11"/>
      <c r="V21" s="11"/>
      <c r="W21" s="11"/>
      <c r="X21" s="11"/>
      <c r="Y21" s="11"/>
      <c r="Z21" s="11"/>
    </row>
    <row r="22" spans="1:2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65" t="s">
        <v>227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3">
    <mergeCell ref="A1:N1"/>
    <mergeCell ref="A2:N3"/>
    <mergeCell ref="A35:N3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200"/>
  <sheetViews>
    <sheetView workbookViewId="0">
      <selection activeCell="H7" sqref="H7"/>
    </sheetView>
  </sheetViews>
  <sheetFormatPr defaultRowHeight="14.25"/>
  <cols>
    <col min="1" max="1" width="7" customWidth="1"/>
    <col min="2" max="2" width="28" customWidth="1"/>
    <col min="3" max="3" width="10" customWidth="1"/>
    <col min="4" max="5" width="16" customWidth="1"/>
    <col min="6" max="6" width="9" customWidth="1"/>
    <col min="7" max="7" width="17" customWidth="1"/>
    <col min="8" max="8" width="28" customWidth="1"/>
  </cols>
  <sheetData>
    <row r="1" spans="1:26">
      <c r="A1" s="44" t="s">
        <v>228</v>
      </c>
      <c r="B1" s="44"/>
      <c r="C1" s="44"/>
      <c r="D1" s="44"/>
      <c r="E1" s="44"/>
      <c r="F1" s="44"/>
      <c r="G1" s="44"/>
      <c r="H1" s="4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1" t="s">
        <v>11</v>
      </c>
      <c r="B3" s="3" t="s">
        <v>229</v>
      </c>
      <c r="C3" s="3" t="s">
        <v>14</v>
      </c>
      <c r="D3" s="3" t="s">
        <v>230</v>
      </c>
      <c r="E3" s="3" t="s">
        <v>16</v>
      </c>
      <c r="F3" s="3" t="s">
        <v>231</v>
      </c>
      <c r="G3" s="3" t="s">
        <v>17</v>
      </c>
      <c r="H3" s="2" t="s">
        <v>232</v>
      </c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>
      <c r="A4" s="4">
        <v>1</v>
      </c>
      <c r="B4" s="7" t="str">
        <f>PCFP_Sangao!B5&amp;" - "&amp;PCFP_Sangao!C5</f>
        <v>Porteiro(a) - 40h</v>
      </c>
      <c r="C4" s="85">
        <f>PCFP_Sangao!E5</f>
        <v>20</v>
      </c>
      <c r="D4" s="76">
        <f>PCFP_Sangao!D5</f>
        <v>6806.27</v>
      </c>
      <c r="E4" s="76">
        <f t="shared" ref="E4:E11" si="0">ROUND(C4*D4,2)</f>
        <v>136125.4</v>
      </c>
      <c r="F4" s="86">
        <f>Parametros!$B$5</f>
        <v>12</v>
      </c>
      <c r="G4" s="76">
        <f t="shared" ref="G4:G11" si="1">ROUND(E4*F4,2)</f>
        <v>1633504.8</v>
      </c>
      <c r="H4" s="8" t="s">
        <v>233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4">
        <v>2</v>
      </c>
      <c r="B5" s="7" t="str">
        <f>PCFP_Sangao!B6&amp;" - "&amp;PCFP_Sangao!C6</f>
        <v>Cozinheiro(a) - 40h</v>
      </c>
      <c r="C5" s="85">
        <f>PCFP_Sangao!E6</f>
        <v>5</v>
      </c>
      <c r="D5" s="76">
        <f>PCFP_Sangao!D6</f>
        <v>5367.64</v>
      </c>
      <c r="E5" s="76">
        <f t="shared" si="0"/>
        <v>26838.2</v>
      </c>
      <c r="F5" s="86">
        <f>Parametros!$B$5</f>
        <v>12</v>
      </c>
      <c r="G5" s="76">
        <f t="shared" si="1"/>
        <v>322058.40000000002</v>
      </c>
      <c r="H5" s="8" t="s">
        <v>233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>
      <c r="A6" s="4">
        <v>3</v>
      </c>
      <c r="B6" s="7" t="str">
        <f>PCFP_Sangao!B7&amp;" - "&amp;PCFP_Sangao!C7</f>
        <v>Auxiliar de Limpeza - 40h</v>
      </c>
      <c r="C6" s="85">
        <f>PCFP_Sangao!E7</f>
        <v>5</v>
      </c>
      <c r="D6" s="76">
        <f>PCFP_Sangao!D7</f>
        <v>5909.03</v>
      </c>
      <c r="E6" s="76">
        <f t="shared" si="0"/>
        <v>29545.15</v>
      </c>
      <c r="F6" s="86">
        <f>Parametros!$B$5</f>
        <v>12</v>
      </c>
      <c r="G6" s="76">
        <f t="shared" si="1"/>
        <v>354541.8</v>
      </c>
      <c r="H6" s="8" t="s">
        <v>233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>
      <c r="A7" s="4">
        <v>4</v>
      </c>
      <c r="B7" s="7" t="str">
        <f>PCFP_Sangao!B8&amp;" - "&amp;PCFP_Sangao!C8</f>
        <v>Auxiliar de Limpeza - 30h</v>
      </c>
      <c r="C7" s="85">
        <f>PCFP_Sangao!E8</f>
        <v>25</v>
      </c>
      <c r="D7" s="76">
        <f>PCFP_Sangao!D8</f>
        <v>4861.67</v>
      </c>
      <c r="E7" s="76">
        <f t="shared" si="0"/>
        <v>121541.75</v>
      </c>
      <c r="F7" s="86">
        <f>Parametros!$B$5</f>
        <v>12</v>
      </c>
      <c r="G7" s="76">
        <f t="shared" si="1"/>
        <v>1458501</v>
      </c>
      <c r="H7" s="8" t="s">
        <v>233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>
      <c r="A8" s="4">
        <v>5</v>
      </c>
      <c r="B8" s="7" t="str">
        <f>PCFP_Sangao!B9&amp;" - "&amp;PCFP_Sangao!C9</f>
        <v>Agente de Apoio Escolar - 30h</v>
      </c>
      <c r="C8" s="85">
        <f>PCFP_Sangao!E9</f>
        <v>60</v>
      </c>
      <c r="D8" s="76">
        <f>PCFP_Sangao!D9</f>
        <v>4162.84</v>
      </c>
      <c r="E8" s="76">
        <f t="shared" si="0"/>
        <v>249770.4</v>
      </c>
      <c r="F8" s="86">
        <f>Parametros!$B$5</f>
        <v>12</v>
      </c>
      <c r="G8" s="76">
        <f t="shared" si="1"/>
        <v>2997244.8</v>
      </c>
      <c r="H8" s="8" t="s">
        <v>233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>
      <c r="A9" s="4">
        <v>6</v>
      </c>
      <c r="B9" s="7" t="str">
        <f>PCFP_Sangao!B10&amp;" - "&amp;PCFP_Sangao!C10</f>
        <v>Emissor de Documentos - 40h</v>
      </c>
      <c r="C9" s="85">
        <f>PCFP_Sangao!E10</f>
        <v>5</v>
      </c>
      <c r="D9" s="76">
        <f>PCFP_Sangao!D10</f>
        <v>5429.51</v>
      </c>
      <c r="E9" s="76">
        <f t="shared" si="0"/>
        <v>27147.55</v>
      </c>
      <c r="F9" s="86">
        <f>Parametros!$B$5</f>
        <v>12</v>
      </c>
      <c r="G9" s="76">
        <f t="shared" si="1"/>
        <v>325770.59999999998</v>
      </c>
      <c r="H9" s="8" t="s">
        <v>233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>
      <c r="A10" s="4">
        <v>7</v>
      </c>
      <c r="B10" s="7" t="str">
        <f>PCFP_Sangao!B11&amp;" - "&amp;PCFP_Sangao!C11</f>
        <v>Apoio Administrativo - 40h</v>
      </c>
      <c r="C10" s="85">
        <f>PCFP_Sangao!E11</f>
        <v>5</v>
      </c>
      <c r="D10" s="76">
        <f>PCFP_Sangao!D11</f>
        <v>5429.51</v>
      </c>
      <c r="E10" s="76">
        <f t="shared" si="0"/>
        <v>27147.55</v>
      </c>
      <c r="F10" s="86">
        <f>Parametros!$B$5</f>
        <v>12</v>
      </c>
      <c r="G10" s="76">
        <f t="shared" si="1"/>
        <v>325770.59999999998</v>
      </c>
      <c r="H10" s="8" t="s">
        <v>233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A11" s="4">
        <v>8</v>
      </c>
      <c r="B11" s="7" t="str">
        <f>PCFP_Sangao!B12&amp;" - "&amp;PCFP_Sangao!C12</f>
        <v>Apoio Administrativo - 20h</v>
      </c>
      <c r="C11" s="85">
        <f>PCFP_Sangao!E12</f>
        <v>20</v>
      </c>
      <c r="D11" s="76">
        <f>PCFP_Sangao!D12</f>
        <v>3075.96</v>
      </c>
      <c r="E11" s="76">
        <f t="shared" si="0"/>
        <v>61519.199999999997</v>
      </c>
      <c r="F11" s="86">
        <f>Parametros!$B$5</f>
        <v>12</v>
      </c>
      <c r="G11" s="76">
        <f t="shared" si="1"/>
        <v>738230.4</v>
      </c>
      <c r="H11" s="8" t="s">
        <v>233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>
      <c r="A12" s="18" t="s">
        <v>234</v>
      </c>
      <c r="B12" s="19"/>
      <c r="C12" s="87">
        <f>SUM(C4:C11)</f>
        <v>145</v>
      </c>
      <c r="D12" s="88"/>
      <c r="E12" s="88">
        <f>ROUND(SUM(E4:E11),2)</f>
        <v>679635.2</v>
      </c>
      <c r="F12" s="89"/>
      <c r="G12" s="88">
        <f>ROUND(SUM(G4:G11),2)</f>
        <v>8155622.4000000004</v>
      </c>
      <c r="H12" s="20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>
      <c r="A14" s="58" t="s">
        <v>235</v>
      </c>
      <c r="B14" s="59"/>
      <c r="C14" s="59"/>
      <c r="D14" s="59"/>
      <c r="E14" s="59"/>
      <c r="F14" s="59"/>
      <c r="G14" s="59"/>
      <c r="H14" s="6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>
      <c r="A15" s="66" t="s">
        <v>236</v>
      </c>
      <c r="B15" s="66"/>
      <c r="C15" s="66"/>
      <c r="D15" s="66"/>
      <c r="E15" s="66"/>
      <c r="F15" s="66"/>
      <c r="G15" s="66"/>
      <c r="H15" s="66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>
      <c r="A16" s="66"/>
      <c r="B16" s="66"/>
      <c r="C16" s="66"/>
      <c r="D16" s="66"/>
      <c r="E16" s="66"/>
      <c r="F16" s="66"/>
      <c r="G16" s="66"/>
      <c r="H16" s="66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66"/>
      <c r="B17" s="66"/>
      <c r="C17" s="66"/>
      <c r="D17" s="66"/>
      <c r="E17" s="66"/>
      <c r="F17" s="66"/>
      <c r="G17" s="66"/>
      <c r="H17" s="66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6.1" customHeight="1">
      <c r="A20" s="67"/>
      <c r="B20" s="67"/>
      <c r="C20" s="67"/>
      <c r="D20" s="67"/>
      <c r="E20" s="67"/>
      <c r="F20" s="67"/>
      <c r="G20" s="67"/>
      <c r="H20" s="67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3.950000000000003" customHeight="1"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35.1" customHeight="1"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5.1" customHeight="1"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5.1" customHeight="1"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5.1" customHeight="1"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5.1" customHeight="1"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5.1" customHeight="1"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5.1" customHeight="1"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5.1" customHeight="1"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5.1" customHeight="1"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4">
    <mergeCell ref="A1:H1"/>
    <mergeCell ref="A14:H14"/>
    <mergeCell ref="A15:H17"/>
    <mergeCell ref="A20:H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200"/>
  <sheetViews>
    <sheetView workbookViewId="0">
      <selection activeCell="E4" sqref="E4:F8"/>
    </sheetView>
  </sheetViews>
  <sheetFormatPr defaultRowHeight="14.25"/>
  <cols>
    <col min="1" max="1" width="37.25" customWidth="1"/>
    <col min="2" max="2" width="84.375" customWidth="1"/>
    <col min="3" max="4" width="35" customWidth="1"/>
    <col min="5" max="5" width="32" customWidth="1"/>
    <col min="6" max="6" width="25" customWidth="1"/>
  </cols>
  <sheetData>
    <row r="1" spans="1:26">
      <c r="A1" s="44" t="s">
        <v>237</v>
      </c>
      <c r="B1" s="44"/>
      <c r="C1" s="44"/>
      <c r="D1" s="44"/>
      <c r="E1" s="44"/>
      <c r="F1" s="44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1" t="s">
        <v>238</v>
      </c>
      <c r="B3" s="3" t="s">
        <v>239</v>
      </c>
      <c r="C3" s="3" t="s">
        <v>240</v>
      </c>
      <c r="D3" s="3" t="s">
        <v>241</v>
      </c>
      <c r="E3" s="3" t="s">
        <v>242</v>
      </c>
      <c r="F3" s="2" t="s">
        <v>243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24">
      <c r="A4" s="73">
        <v>1</v>
      </c>
      <c r="B4" s="75" t="s">
        <v>244</v>
      </c>
      <c r="C4" s="75" t="s">
        <v>245</v>
      </c>
      <c r="D4" s="7" t="s">
        <v>246</v>
      </c>
      <c r="E4" s="75" t="s">
        <v>247</v>
      </c>
      <c r="F4" s="90" t="s">
        <v>248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24">
      <c r="A5" s="73">
        <v>2</v>
      </c>
      <c r="B5" s="75" t="s">
        <v>249</v>
      </c>
      <c r="C5" s="75" t="s">
        <v>250</v>
      </c>
      <c r="D5" s="7" t="s">
        <v>251</v>
      </c>
      <c r="E5" s="75" t="s">
        <v>252</v>
      </c>
      <c r="F5" s="90" t="s">
        <v>253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24">
      <c r="A6" s="73">
        <v>3</v>
      </c>
      <c r="B6" s="75" t="s">
        <v>254</v>
      </c>
      <c r="C6" s="75" t="s">
        <v>255</v>
      </c>
      <c r="D6" s="7" t="s">
        <v>256</v>
      </c>
      <c r="E6" s="75" t="s">
        <v>257</v>
      </c>
      <c r="F6" s="90" t="s">
        <v>258</v>
      </c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4">
      <c r="A7" s="73">
        <v>4</v>
      </c>
      <c r="B7" s="75" t="s">
        <v>259</v>
      </c>
      <c r="C7" s="75" t="s">
        <v>260</v>
      </c>
      <c r="D7" s="7" t="s">
        <v>261</v>
      </c>
      <c r="E7" s="75" t="s">
        <v>262</v>
      </c>
      <c r="F7" s="90" t="s">
        <v>258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24">
      <c r="A8" s="74">
        <v>5</v>
      </c>
      <c r="B8" s="77" t="s">
        <v>263</v>
      </c>
      <c r="C8" s="77" t="s">
        <v>264</v>
      </c>
      <c r="D8" s="9" t="s">
        <v>265</v>
      </c>
      <c r="E8" s="77" t="s">
        <v>266</v>
      </c>
      <c r="F8" s="91" t="s">
        <v>267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>
      <c r="A10" s="1" t="s">
        <v>268</v>
      </c>
      <c r="B10" s="2" t="s">
        <v>269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A11" s="4" t="s">
        <v>270</v>
      </c>
      <c r="B11" s="8" t="s">
        <v>271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>
      <c r="A12" s="4" t="s">
        <v>272</v>
      </c>
      <c r="B12" s="8" t="s">
        <v>273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A13" s="4" t="s">
        <v>274</v>
      </c>
      <c r="B13" s="8" t="s">
        <v>275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>
      <c r="A14" s="4" t="s">
        <v>276</v>
      </c>
      <c r="B14" s="8" t="s">
        <v>277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>
      <c r="A15" s="4" t="s">
        <v>278</v>
      </c>
      <c r="B15" s="8" t="s">
        <v>279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4">
      <c r="A16" s="6" t="s">
        <v>280</v>
      </c>
      <c r="B16" s="10" t="s">
        <v>281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200"/>
  <sheetViews>
    <sheetView topLeftCell="A7" workbookViewId="0">
      <selection sqref="A1:D1"/>
    </sheetView>
  </sheetViews>
  <sheetFormatPr defaultRowHeight="14.25"/>
  <cols>
    <col min="1" max="1" width="28" customWidth="1"/>
    <col min="2" max="2" width="40" customWidth="1"/>
    <col min="3" max="3" width="17" customWidth="1"/>
    <col min="4" max="4" width="70" customWidth="1"/>
  </cols>
  <sheetData>
    <row r="1" spans="1:26">
      <c r="A1" s="44" t="s">
        <v>282</v>
      </c>
      <c r="B1" s="44"/>
      <c r="C1" s="44"/>
      <c r="D1" s="4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1" t="s">
        <v>239</v>
      </c>
      <c r="B3" s="3" t="s">
        <v>283</v>
      </c>
      <c r="C3" s="3" t="s">
        <v>284</v>
      </c>
      <c r="D3" s="2" t="s">
        <v>285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>
      <c r="A4" s="4" t="s">
        <v>249</v>
      </c>
      <c r="B4" s="7" t="s">
        <v>286</v>
      </c>
      <c r="C4" s="7" t="s">
        <v>287</v>
      </c>
      <c r="D4" s="8" t="s">
        <v>58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4" t="s">
        <v>288</v>
      </c>
      <c r="B5" s="7" t="s">
        <v>289</v>
      </c>
      <c r="C5" s="7" t="s">
        <v>287</v>
      </c>
      <c r="D5" s="8" t="s">
        <v>290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>
      <c r="A6" s="4" t="s">
        <v>291</v>
      </c>
      <c r="B6" s="7" t="s">
        <v>292</v>
      </c>
      <c r="C6" s="7" t="s">
        <v>287</v>
      </c>
      <c r="D6" s="8" t="s">
        <v>293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36">
      <c r="A7" s="4" t="s">
        <v>294</v>
      </c>
      <c r="B7" s="7" t="s">
        <v>295</v>
      </c>
      <c r="C7" s="7" t="s">
        <v>287</v>
      </c>
      <c r="D7" s="8" t="s">
        <v>296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36">
      <c r="A8" s="4" t="s">
        <v>297</v>
      </c>
      <c r="B8" s="7" t="s">
        <v>295</v>
      </c>
      <c r="C8" s="7" t="s">
        <v>287</v>
      </c>
      <c r="D8" s="8" t="s">
        <v>298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36">
      <c r="A9" s="4" t="s">
        <v>299</v>
      </c>
      <c r="B9" s="7" t="s">
        <v>300</v>
      </c>
      <c r="C9" s="7" t="s">
        <v>287</v>
      </c>
      <c r="D9" s="8" t="s">
        <v>301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>
      <c r="A10" s="4" t="s">
        <v>302</v>
      </c>
      <c r="B10" s="7" t="s">
        <v>295</v>
      </c>
      <c r="C10" s="7" t="s">
        <v>287</v>
      </c>
      <c r="D10" s="8" t="s">
        <v>116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24">
      <c r="A11" s="4" t="s">
        <v>303</v>
      </c>
      <c r="B11" s="7" t="s">
        <v>304</v>
      </c>
      <c r="C11" s="7" t="s">
        <v>287</v>
      </c>
      <c r="D11" s="8" t="s">
        <v>134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>
      <c r="A12" s="4" t="s">
        <v>305</v>
      </c>
      <c r="B12" s="7" t="s">
        <v>306</v>
      </c>
      <c r="C12" s="7" t="s">
        <v>287</v>
      </c>
      <c r="D12" s="8" t="s">
        <v>142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A13" s="4" t="s">
        <v>307</v>
      </c>
      <c r="B13" s="7" t="s">
        <v>308</v>
      </c>
      <c r="C13" s="7" t="s">
        <v>287</v>
      </c>
      <c r="D13" s="8" t="s">
        <v>151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24">
      <c r="A14" s="4" t="s">
        <v>309</v>
      </c>
      <c r="B14" s="7" t="s">
        <v>310</v>
      </c>
      <c r="C14" s="7" t="s">
        <v>287</v>
      </c>
      <c r="D14" s="8" t="s">
        <v>162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24">
      <c r="A15" s="4" t="s">
        <v>311</v>
      </c>
      <c r="B15" s="7" t="s">
        <v>312</v>
      </c>
      <c r="C15" s="7" t="s">
        <v>287</v>
      </c>
      <c r="D15" s="8" t="s">
        <v>169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4">
      <c r="A16" s="4" t="s">
        <v>313</v>
      </c>
      <c r="B16" s="7" t="s">
        <v>314</v>
      </c>
      <c r="C16" s="7" t="s">
        <v>287</v>
      </c>
      <c r="D16" s="8" t="s">
        <v>180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4" t="s">
        <v>315</v>
      </c>
      <c r="B17" s="7" t="s">
        <v>316</v>
      </c>
      <c r="C17" s="7" t="s">
        <v>287</v>
      </c>
      <c r="D17" s="8" t="s">
        <v>317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24">
      <c r="A18" s="6" t="s">
        <v>318</v>
      </c>
      <c r="B18" s="9" t="s">
        <v>319</v>
      </c>
      <c r="C18" s="9" t="s">
        <v>287</v>
      </c>
      <c r="D18" s="10" t="s">
        <v>320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4">
      <c r="A19" s="26" t="s">
        <v>321</v>
      </c>
      <c r="B19" s="27" t="s">
        <v>322</v>
      </c>
      <c r="C19" s="27" t="s">
        <v>287</v>
      </c>
      <c r="D19" s="28" t="s">
        <v>123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4">
      <c r="A20" s="6" t="s">
        <v>323</v>
      </c>
      <c r="B20" s="9" t="s">
        <v>324</v>
      </c>
      <c r="C20" s="9" t="s">
        <v>287</v>
      </c>
      <c r="D20" s="10" t="s">
        <v>325</v>
      </c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63" customHeight="1">
      <c r="A21" s="29" t="s">
        <v>326</v>
      </c>
      <c r="B21" s="29" t="s">
        <v>327</v>
      </c>
      <c r="C21" s="29" t="s">
        <v>328</v>
      </c>
      <c r="D21" s="36" t="s">
        <v>329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63" customHeight="1">
      <c r="A22" s="29" t="s">
        <v>330</v>
      </c>
      <c r="B22" s="29" t="s">
        <v>331</v>
      </c>
      <c r="C22" s="29" t="s">
        <v>328</v>
      </c>
      <c r="D22" s="36" t="s">
        <v>58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63" customHeight="1">
      <c r="A23" s="29" t="s">
        <v>332</v>
      </c>
      <c r="B23" s="29" t="s">
        <v>333</v>
      </c>
      <c r="C23" s="29" t="s">
        <v>328</v>
      </c>
      <c r="D23" s="36" t="s">
        <v>334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63" customHeight="1">
      <c r="A24" s="29" t="s">
        <v>335</v>
      </c>
      <c r="B24" s="29" t="s">
        <v>336</v>
      </c>
      <c r="C24" s="29" t="s">
        <v>328</v>
      </c>
      <c r="D24" s="36" t="s">
        <v>337</v>
      </c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63" customHeight="1">
      <c r="A25" s="29" t="s">
        <v>338</v>
      </c>
      <c r="B25" s="29" t="s">
        <v>339</v>
      </c>
      <c r="C25" s="29" t="s">
        <v>328</v>
      </c>
      <c r="D25" s="36" t="s">
        <v>340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63" customHeight="1">
      <c r="A26" s="29" t="s">
        <v>341</v>
      </c>
      <c r="B26" s="29" t="s">
        <v>342</v>
      </c>
      <c r="C26" s="29" t="s">
        <v>328</v>
      </c>
      <c r="D26" s="36" t="s">
        <v>343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63" customHeight="1">
      <c r="A27" s="29" t="s">
        <v>344</v>
      </c>
      <c r="B27" s="29" t="s">
        <v>345</v>
      </c>
      <c r="C27" s="29" t="s">
        <v>328</v>
      </c>
      <c r="D27" s="36" t="s">
        <v>346</v>
      </c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63" customHeight="1">
      <c r="A28" s="29" t="s">
        <v>347</v>
      </c>
      <c r="B28" s="29" t="s">
        <v>348</v>
      </c>
      <c r="C28" s="29" t="s">
        <v>328</v>
      </c>
      <c r="D28" s="36" t="s">
        <v>349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63" customHeight="1">
      <c r="A29" s="29" t="s">
        <v>350</v>
      </c>
      <c r="B29" s="29" t="s">
        <v>351</v>
      </c>
      <c r="C29" s="29" t="s">
        <v>328</v>
      </c>
      <c r="D29" s="36" t="s">
        <v>352</v>
      </c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63" customHeight="1">
      <c r="A30" s="29" t="s">
        <v>353</v>
      </c>
      <c r="B30" s="29" t="s">
        <v>354</v>
      </c>
      <c r="C30" s="29" t="s">
        <v>328</v>
      </c>
      <c r="D30" s="36" t="s">
        <v>355</v>
      </c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63" customHeight="1">
      <c r="A31" s="29" t="s">
        <v>356</v>
      </c>
      <c r="B31" s="29" t="s">
        <v>357</v>
      </c>
      <c r="C31" s="29" t="s">
        <v>328</v>
      </c>
      <c r="D31" s="36" t="s">
        <v>358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63" customHeight="1">
      <c r="A32" s="29" t="s">
        <v>359</v>
      </c>
      <c r="B32" s="29" t="s">
        <v>360</v>
      </c>
      <c r="C32" s="29" t="s">
        <v>328</v>
      </c>
      <c r="D32" s="36" t="s">
        <v>361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63" customHeight="1">
      <c r="A33" s="29" t="s">
        <v>362</v>
      </c>
      <c r="B33" s="29" t="s">
        <v>363</v>
      </c>
      <c r="C33" s="29" t="s">
        <v>328</v>
      </c>
      <c r="D33" s="36" t="s">
        <v>364</v>
      </c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63" customHeight="1">
      <c r="A34" s="29" t="s">
        <v>365</v>
      </c>
      <c r="B34" s="29" t="s">
        <v>366</v>
      </c>
      <c r="C34" s="29" t="s">
        <v>328</v>
      </c>
      <c r="D34" s="36" t="s">
        <v>317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63" customHeight="1">
      <c r="A35" s="29" t="s">
        <v>367</v>
      </c>
      <c r="B35" s="29" t="s">
        <v>368</v>
      </c>
      <c r="C35" s="29" t="s">
        <v>328</v>
      </c>
      <c r="D35" s="36" t="s">
        <v>369</v>
      </c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63" customHeight="1">
      <c r="A36" s="29" t="s">
        <v>370</v>
      </c>
      <c r="B36" s="29" t="s">
        <v>371</v>
      </c>
      <c r="C36" s="29" t="s">
        <v>372</v>
      </c>
      <c r="D36" s="36" t="s">
        <v>373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63" customHeight="1">
      <c r="A37" s="29" t="s">
        <v>374</v>
      </c>
      <c r="B37" s="29" t="s">
        <v>375</v>
      </c>
      <c r="C37" s="29" t="s">
        <v>372</v>
      </c>
      <c r="D37" s="36" t="s">
        <v>376</v>
      </c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63" customHeight="1">
      <c r="A38" s="29" t="s">
        <v>377</v>
      </c>
      <c r="B38" s="29" t="s">
        <v>378</v>
      </c>
      <c r="C38" s="29" t="s">
        <v>328</v>
      </c>
      <c r="D38" s="36" t="s">
        <v>379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62.1" customHeight="1">
      <c r="A40" s="37" t="s">
        <v>380</v>
      </c>
      <c r="B40" s="37" t="s">
        <v>381</v>
      </c>
      <c r="C40" s="37" t="s">
        <v>372</v>
      </c>
      <c r="D40" s="36" t="s">
        <v>382</v>
      </c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62.1" customHeight="1">
      <c r="A41" s="37" t="s">
        <v>383</v>
      </c>
      <c r="B41" s="37" t="s">
        <v>384</v>
      </c>
      <c r="C41" s="37" t="s">
        <v>372</v>
      </c>
      <c r="D41" s="36" t="s">
        <v>385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62.1" customHeight="1">
      <c r="A42" s="37" t="s">
        <v>386</v>
      </c>
      <c r="B42" s="37" t="s">
        <v>387</v>
      </c>
      <c r="C42" s="37" t="s">
        <v>372</v>
      </c>
      <c r="D42" s="36" t="s">
        <v>388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62.1" customHeight="1">
      <c r="A43" s="37" t="s">
        <v>389</v>
      </c>
      <c r="B43" s="37" t="s">
        <v>390</v>
      </c>
      <c r="C43" s="37" t="s">
        <v>372</v>
      </c>
      <c r="D43" s="36" t="s">
        <v>391</v>
      </c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62.1" customHeight="1">
      <c r="A44" s="37" t="s">
        <v>392</v>
      </c>
      <c r="B44" s="37" t="s">
        <v>393</v>
      </c>
      <c r="C44" s="37" t="s">
        <v>372</v>
      </c>
      <c r="D44" s="36" t="s">
        <v>394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78" customHeight="1">
      <c r="A45" s="11" t="s">
        <v>395</v>
      </c>
      <c r="B45" s="11" t="s">
        <v>396</v>
      </c>
      <c r="C45" s="11" t="s">
        <v>372</v>
      </c>
      <c r="D45" s="11" t="s">
        <v>397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78" customHeight="1">
      <c r="A46" s="11" t="s">
        <v>398</v>
      </c>
      <c r="B46" s="11" t="s">
        <v>399</v>
      </c>
      <c r="C46" s="11" t="s">
        <v>372</v>
      </c>
      <c r="D46" s="11" t="s">
        <v>400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78" customHeight="1">
      <c r="A47" s="11" t="s">
        <v>401</v>
      </c>
      <c r="B47" s="11" t="s">
        <v>402</v>
      </c>
      <c r="C47" s="11" t="s">
        <v>372</v>
      </c>
      <c r="D47" s="11" t="s">
        <v>403</v>
      </c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78" customHeight="1">
      <c r="A48" s="11" t="s">
        <v>404</v>
      </c>
      <c r="B48" s="11" t="s">
        <v>405</v>
      </c>
      <c r="C48" s="11" t="s">
        <v>372</v>
      </c>
      <c r="D48" s="11" t="s">
        <v>406</v>
      </c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78" customHeight="1">
      <c r="A49" s="11" t="s">
        <v>407</v>
      </c>
      <c r="B49" s="11" t="s">
        <v>408</v>
      </c>
      <c r="C49" s="11" t="s">
        <v>372</v>
      </c>
      <c r="D49" s="11" t="s">
        <v>409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78" customHeight="1">
      <c r="A50" s="11" t="s">
        <v>410</v>
      </c>
      <c r="B50" s="11" t="s">
        <v>411</v>
      </c>
      <c r="C50" s="11" t="s">
        <v>372</v>
      </c>
      <c r="D50" s="11" t="s">
        <v>412</v>
      </c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78" customHeight="1">
      <c r="A51" s="11" t="s">
        <v>413</v>
      </c>
      <c r="B51" s="11" t="s">
        <v>414</v>
      </c>
      <c r="C51" s="11" t="s">
        <v>372</v>
      </c>
      <c r="D51" s="11" t="s">
        <v>415</v>
      </c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78" customHeight="1">
      <c r="A52" s="11" t="s">
        <v>416</v>
      </c>
      <c r="B52" s="11" t="s">
        <v>417</v>
      </c>
      <c r="C52" s="11" t="s">
        <v>372</v>
      </c>
      <c r="D52" s="11" t="s">
        <v>418</v>
      </c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78" customHeight="1">
      <c r="A53" s="11" t="s">
        <v>419</v>
      </c>
      <c r="B53" s="11" t="s">
        <v>420</v>
      </c>
      <c r="C53" s="11" t="s">
        <v>372</v>
      </c>
      <c r="D53" s="11" t="s">
        <v>421</v>
      </c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 t="s">
        <v>422</v>
      </c>
      <c r="B54" s="11" t="s">
        <v>423</v>
      </c>
      <c r="C54" s="11" t="s">
        <v>424</v>
      </c>
      <c r="D54" s="11" t="s">
        <v>425</v>
      </c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 t="s">
        <v>426</v>
      </c>
      <c r="B55" s="11" t="s">
        <v>427</v>
      </c>
      <c r="C55" s="11" t="s">
        <v>424</v>
      </c>
      <c r="D55" s="11" t="s">
        <v>428</v>
      </c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 t="s">
        <v>429</v>
      </c>
      <c r="B56" s="11" t="s">
        <v>430</v>
      </c>
      <c r="C56" s="11" t="s">
        <v>424</v>
      </c>
      <c r="D56" s="11" t="s">
        <v>431</v>
      </c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 t="s">
        <v>432</v>
      </c>
      <c r="B57" s="11" t="s">
        <v>433</v>
      </c>
      <c r="C57" s="11" t="s">
        <v>424</v>
      </c>
      <c r="D57" s="11" t="s">
        <v>434</v>
      </c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200"/>
  <sheetViews>
    <sheetView workbookViewId="0">
      <selection activeCell="B8" sqref="B8"/>
    </sheetView>
  </sheetViews>
  <sheetFormatPr defaultRowHeight="14.25"/>
  <cols>
    <col min="1" max="1" width="48" customWidth="1"/>
    <col min="2" max="2" width="30" customWidth="1"/>
    <col min="3" max="3" width="22" customWidth="1"/>
    <col min="4" max="4" width="50" customWidth="1"/>
  </cols>
  <sheetData>
    <row r="1" spans="1:26">
      <c r="A1" s="44" t="s">
        <v>435</v>
      </c>
      <c r="B1" s="44"/>
      <c r="C1" s="44"/>
      <c r="D1" s="4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>
      <c r="A3" s="1" t="s">
        <v>436</v>
      </c>
      <c r="B3" s="3" t="s">
        <v>437</v>
      </c>
      <c r="C3" s="3" t="s">
        <v>42</v>
      </c>
      <c r="D3" s="2" t="s">
        <v>438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>
      <c r="A4" s="4" t="s">
        <v>439</v>
      </c>
      <c r="B4" s="75" t="s">
        <v>440</v>
      </c>
      <c r="C4" s="75" t="s">
        <v>441</v>
      </c>
      <c r="D4" s="8" t="s">
        <v>442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24">
      <c r="A5" s="4" t="s">
        <v>443</v>
      </c>
      <c r="B5" s="75" t="s">
        <v>444</v>
      </c>
      <c r="C5" s="75" t="s">
        <v>441</v>
      </c>
      <c r="D5" s="8" t="s">
        <v>445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24">
      <c r="A6" s="4" t="s">
        <v>446</v>
      </c>
      <c r="B6" s="75" t="s">
        <v>447</v>
      </c>
      <c r="C6" s="75" t="s">
        <v>448</v>
      </c>
      <c r="D6" s="8" t="s">
        <v>449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24">
      <c r="A7" s="4" t="s">
        <v>450</v>
      </c>
      <c r="B7" s="75" t="s">
        <v>451</v>
      </c>
      <c r="C7" s="75" t="s">
        <v>452</v>
      </c>
      <c r="D7" s="8" t="s">
        <v>453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>
      <c r="A8" s="4" t="s">
        <v>454</v>
      </c>
      <c r="B8" s="75" t="s">
        <v>455</v>
      </c>
      <c r="C8" s="75" t="s">
        <v>456</v>
      </c>
      <c r="D8" s="8" t="s">
        <v>457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4">
      <c r="A9" s="4" t="s">
        <v>458</v>
      </c>
      <c r="B9" s="75" t="s">
        <v>459</v>
      </c>
      <c r="C9" s="75" t="s">
        <v>456</v>
      </c>
      <c r="D9" s="8" t="s">
        <v>460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>
      <c r="A10" s="4" t="s">
        <v>461</v>
      </c>
      <c r="B10" s="75" t="s">
        <v>462</v>
      </c>
      <c r="C10" s="75" t="s">
        <v>463</v>
      </c>
      <c r="D10" s="8" t="s">
        <v>464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>
      <c r="A11" s="6" t="s">
        <v>465</v>
      </c>
      <c r="B11" s="77" t="s">
        <v>466</v>
      </c>
      <c r="C11" s="77" t="s">
        <v>463</v>
      </c>
      <c r="D11" s="10" t="s">
        <v>467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24">
      <c r="A12" s="29" t="s">
        <v>468</v>
      </c>
      <c r="B12" s="92" t="s">
        <v>469</v>
      </c>
      <c r="C12" s="92" t="s">
        <v>470</v>
      </c>
      <c r="D12" s="29" t="s">
        <v>471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spans="1:2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spans="1:2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spans="1:2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spans="1:26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spans="1:26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spans="1:26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spans="1:26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spans="1:26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spans="1:26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spans="1:26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spans="1:26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spans="1:26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spans="1:26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spans="1:26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spans="1:26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spans="1:26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spans="1:26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spans="1:26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spans="1:26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spans="1:26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spans="1:26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spans="1:2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spans="1:26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spans="1:26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spans="1:26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spans="1:26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spans="1:26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spans="1:26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spans="1:26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spans="1:26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spans="1:26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spans="1: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spans="1:26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spans="1:26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spans="1:26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spans="1:26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spans="1:26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spans="1:26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spans="1:26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spans="1:26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spans="1:26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spans="1:2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spans="1:26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spans="1:26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spans="1:26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spans="1:26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spans="1:26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spans="1:26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spans="1:26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spans="1:26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spans="1:26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spans="1:2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spans="1:26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spans="1:26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spans="1:26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spans="1:26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spans="1:26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spans="1:26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spans="1:26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spans="1:26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spans="1:26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spans="1:2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spans="1:26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spans="1:26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spans="1:26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spans="1:26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spans="1:26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spans="1:26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spans="1:26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spans="1:26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spans="1:26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spans="1:2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spans="1:26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  <row r="168" spans="1:26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</row>
    <row r="169" spans="1:26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</row>
    <row r="170" spans="1:26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</row>
    <row r="171" spans="1:26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</row>
    <row r="172" spans="1:26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</row>
    <row r="173" spans="1:26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</row>
    <row r="174" spans="1:26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</row>
    <row r="175" spans="1:26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</row>
    <row r="176" spans="1:2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</row>
    <row r="177" spans="1:26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</row>
    <row r="178" spans="1:26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</row>
    <row r="179" spans="1:26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</row>
    <row r="180" spans="1:26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</row>
    <row r="181" spans="1:26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</row>
    <row r="182" spans="1:26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</row>
    <row r="183" spans="1:26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</row>
    <row r="184" spans="1:26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</row>
    <row r="185" spans="1:26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</row>
    <row r="186" spans="1:2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</row>
    <row r="187" spans="1:26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</row>
    <row r="188" spans="1:26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</row>
    <row r="189" spans="1:26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</row>
    <row r="190" spans="1:26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</row>
    <row r="191" spans="1:26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</row>
    <row r="192" spans="1:26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</row>
    <row r="193" spans="1:26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</row>
    <row r="194" spans="1:26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</row>
    <row r="195" spans="1:26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</row>
    <row r="196" spans="1:2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</row>
    <row r="197" spans="1:26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</row>
    <row r="198" spans="1:26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</row>
    <row r="199" spans="1:26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</row>
    <row r="200" spans="1:26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163C51"/>
  </sheetPr>
  <dimension ref="A1:K110"/>
  <sheetViews>
    <sheetView showGridLines="0" workbookViewId="0">
      <pane ySplit="4" topLeftCell="A5" activePane="bottomLeft" state="frozen"/>
      <selection pane="bottomLeft" activeCell="A70" sqref="A70:XFD70"/>
    </sheetView>
  </sheetViews>
  <sheetFormatPr defaultRowHeight="14.25"/>
  <cols>
    <col min="1" max="1" width="40" customWidth="1"/>
    <col min="2" max="2" width="18" customWidth="1"/>
    <col min="3" max="3" width="17" customWidth="1"/>
    <col min="4" max="4" width="26" customWidth="1"/>
    <col min="5" max="5" width="72" customWidth="1"/>
  </cols>
  <sheetData>
    <row r="1" spans="1:11" ht="30" customHeight="1">
      <c r="A1" s="68" t="s">
        <v>472</v>
      </c>
      <c r="B1" s="68"/>
      <c r="C1" s="68"/>
      <c r="D1" s="68"/>
      <c r="E1" s="68"/>
      <c r="F1" s="33"/>
      <c r="G1" s="33"/>
      <c r="H1" s="33"/>
      <c r="I1" s="33"/>
      <c r="J1" s="33"/>
      <c r="K1" s="33"/>
    </row>
    <row r="2" spans="1:11" ht="36" customHeight="1">
      <c r="A2" s="69" t="s">
        <v>473</v>
      </c>
      <c r="B2" s="69"/>
      <c r="C2" s="69"/>
      <c r="D2" s="69"/>
      <c r="E2" s="69"/>
      <c r="F2" s="33"/>
      <c r="G2" s="33"/>
      <c r="H2" s="33"/>
      <c r="I2" s="33"/>
      <c r="J2" s="33"/>
      <c r="K2" s="33"/>
    </row>
    <row r="3" spans="1:1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>
      <c r="A4" s="93" t="s">
        <v>474</v>
      </c>
      <c r="B4" s="93" t="s">
        <v>475</v>
      </c>
      <c r="C4" s="93" t="s">
        <v>476</v>
      </c>
      <c r="D4" s="93" t="s">
        <v>239</v>
      </c>
      <c r="E4" s="35" t="s">
        <v>477</v>
      </c>
      <c r="F4" s="33"/>
      <c r="G4" s="33"/>
      <c r="H4" s="33"/>
      <c r="I4" s="33"/>
      <c r="J4" s="33"/>
      <c r="K4" s="33"/>
    </row>
    <row r="5" spans="1:11">
      <c r="A5" s="94" t="s">
        <v>478</v>
      </c>
      <c r="B5" s="95">
        <v>12</v>
      </c>
      <c r="C5" s="94" t="s">
        <v>479</v>
      </c>
      <c r="D5" s="94" t="s">
        <v>480</v>
      </c>
      <c r="E5" s="34" t="s">
        <v>481</v>
      </c>
      <c r="F5" s="33"/>
      <c r="G5" s="33"/>
      <c r="H5" s="33"/>
      <c r="I5" s="33"/>
      <c r="J5" s="33"/>
      <c r="K5" s="33"/>
    </row>
    <row r="6" spans="1:11">
      <c r="A6" s="94" t="s">
        <v>482</v>
      </c>
      <c r="B6" s="95">
        <v>30</v>
      </c>
      <c r="C6" s="94" t="s">
        <v>483</v>
      </c>
      <c r="D6" s="94" t="s">
        <v>484</v>
      </c>
      <c r="E6" s="34" t="s">
        <v>485</v>
      </c>
      <c r="F6" s="33"/>
      <c r="G6" s="33"/>
      <c r="H6" s="33"/>
      <c r="I6" s="33"/>
      <c r="J6" s="33"/>
      <c r="K6" s="33"/>
    </row>
    <row r="7" spans="1:11">
      <c r="A7" s="94" t="s">
        <v>486</v>
      </c>
      <c r="B7" s="95">
        <v>30</v>
      </c>
      <c r="C7" s="94" t="s">
        <v>483</v>
      </c>
      <c r="D7" s="94" t="s">
        <v>487</v>
      </c>
      <c r="E7" s="34" t="s">
        <v>488</v>
      </c>
      <c r="F7" s="33"/>
      <c r="G7" s="33"/>
      <c r="H7" s="33"/>
      <c r="I7" s="33"/>
      <c r="J7" s="33"/>
      <c r="K7" s="33"/>
    </row>
    <row r="8" spans="1:11">
      <c r="A8" s="94" t="s">
        <v>489</v>
      </c>
      <c r="B8" s="96">
        <v>0.2</v>
      </c>
      <c r="C8" s="94" t="s">
        <v>490</v>
      </c>
      <c r="D8" s="94" t="s">
        <v>491</v>
      </c>
      <c r="E8" s="34" t="s">
        <v>492</v>
      </c>
      <c r="F8" s="33"/>
      <c r="G8" s="33"/>
      <c r="H8" s="33"/>
      <c r="I8" s="33"/>
      <c r="J8" s="33"/>
      <c r="K8" s="33"/>
    </row>
    <row r="9" spans="1:11">
      <c r="A9" s="94" t="s">
        <v>493</v>
      </c>
      <c r="B9" s="96">
        <v>0.03</v>
      </c>
      <c r="C9" s="94" t="s">
        <v>490</v>
      </c>
      <c r="D9" s="94" t="s">
        <v>494</v>
      </c>
      <c r="E9" s="34" t="s">
        <v>495</v>
      </c>
      <c r="F9" s="33"/>
      <c r="G9" s="33"/>
      <c r="H9" s="33"/>
      <c r="I9" s="33"/>
      <c r="J9" s="33"/>
      <c r="K9" s="33"/>
    </row>
    <row r="10" spans="1:11">
      <c r="A10" s="94" t="s">
        <v>496</v>
      </c>
      <c r="B10" s="95">
        <v>1</v>
      </c>
      <c r="C10" s="94" t="s">
        <v>497</v>
      </c>
      <c r="D10" s="94" t="s">
        <v>496</v>
      </c>
      <c r="E10" s="34" t="s">
        <v>498</v>
      </c>
      <c r="F10" s="33"/>
      <c r="G10" s="33"/>
      <c r="H10" s="33"/>
      <c r="I10" s="33"/>
      <c r="J10" s="33"/>
      <c r="K10" s="33"/>
    </row>
    <row r="11" spans="1:11">
      <c r="A11" s="94" t="s">
        <v>499</v>
      </c>
      <c r="B11" s="96">
        <v>2.5000000000000001E-2</v>
      </c>
      <c r="C11" s="94" t="s">
        <v>490</v>
      </c>
      <c r="D11" s="94" t="s">
        <v>491</v>
      </c>
      <c r="E11" s="34" t="s">
        <v>500</v>
      </c>
      <c r="F11" s="33"/>
      <c r="G11" s="33"/>
      <c r="H11" s="33"/>
      <c r="I11" s="33"/>
      <c r="J11" s="33"/>
      <c r="K11" s="33"/>
    </row>
    <row r="12" spans="1:11">
      <c r="A12" s="94" t="s">
        <v>501</v>
      </c>
      <c r="B12" s="96">
        <v>1.4999999999999999E-2</v>
      </c>
      <c r="C12" s="94" t="s">
        <v>490</v>
      </c>
      <c r="D12" s="94" t="s">
        <v>491</v>
      </c>
      <c r="E12" s="34" t="s">
        <v>502</v>
      </c>
      <c r="F12" s="33"/>
      <c r="G12" s="33"/>
      <c r="H12" s="33"/>
      <c r="I12" s="33"/>
      <c r="J12" s="33"/>
      <c r="K12" s="33"/>
    </row>
    <row r="13" spans="1:11">
      <c r="A13" s="94" t="s">
        <v>503</v>
      </c>
      <c r="B13" s="96">
        <v>0.01</v>
      </c>
      <c r="C13" s="94" t="s">
        <v>490</v>
      </c>
      <c r="D13" s="94" t="s">
        <v>491</v>
      </c>
      <c r="E13" s="34" t="s">
        <v>502</v>
      </c>
      <c r="F13" s="33"/>
      <c r="G13" s="33"/>
      <c r="H13" s="33"/>
      <c r="I13" s="33"/>
      <c r="J13" s="33"/>
      <c r="K13" s="33"/>
    </row>
    <row r="14" spans="1:11">
      <c r="A14" s="94" t="s">
        <v>504</v>
      </c>
      <c r="B14" s="96">
        <v>6.0000000000000001E-3</v>
      </c>
      <c r="C14" s="94" t="s">
        <v>490</v>
      </c>
      <c r="D14" s="94" t="s">
        <v>491</v>
      </c>
      <c r="E14" s="34" t="s">
        <v>502</v>
      </c>
      <c r="F14" s="33"/>
      <c r="G14" s="33"/>
      <c r="H14" s="33"/>
      <c r="I14" s="33"/>
      <c r="J14" s="33"/>
      <c r="K14" s="33"/>
    </row>
    <row r="15" spans="1:11">
      <c r="A15" s="94" t="s">
        <v>505</v>
      </c>
      <c r="B15" s="96">
        <v>2E-3</v>
      </c>
      <c r="C15" s="94" t="s">
        <v>490</v>
      </c>
      <c r="D15" s="94" t="s">
        <v>491</v>
      </c>
      <c r="E15" s="34" t="s">
        <v>502</v>
      </c>
      <c r="F15" s="33"/>
      <c r="G15" s="33"/>
      <c r="H15" s="33"/>
      <c r="I15" s="33"/>
      <c r="J15" s="33"/>
      <c r="K15" s="33"/>
    </row>
    <row r="16" spans="1:11">
      <c r="A16" s="94" t="s">
        <v>506</v>
      </c>
      <c r="B16" s="96">
        <v>0.08</v>
      </c>
      <c r="C16" s="94" t="s">
        <v>490</v>
      </c>
      <c r="D16" s="94" t="s">
        <v>507</v>
      </c>
      <c r="E16" s="34" t="s">
        <v>508</v>
      </c>
      <c r="F16" s="33"/>
      <c r="G16" s="33"/>
      <c r="H16" s="33"/>
      <c r="I16" s="33"/>
      <c r="J16" s="33"/>
      <c r="K16" s="33"/>
    </row>
    <row r="17" spans="1:11" ht="25.5">
      <c r="A17" s="94" t="s">
        <v>509</v>
      </c>
      <c r="B17" s="96">
        <v>7.0000000000000007E-2</v>
      </c>
      <c r="C17" s="94" t="s">
        <v>490</v>
      </c>
      <c r="D17" s="94" t="s">
        <v>510</v>
      </c>
      <c r="E17" s="34" t="s">
        <v>511</v>
      </c>
      <c r="F17" s="33"/>
      <c r="G17" s="33"/>
      <c r="H17" s="33"/>
      <c r="I17" s="33"/>
      <c r="J17" s="33"/>
      <c r="K17" s="33"/>
    </row>
    <row r="18" spans="1:11" ht="25.5">
      <c r="A18" s="94" t="s">
        <v>512</v>
      </c>
      <c r="B18" s="95">
        <v>1</v>
      </c>
      <c r="C18" s="94" t="s">
        <v>513</v>
      </c>
      <c r="D18" s="94" t="s">
        <v>514</v>
      </c>
      <c r="E18" s="34" t="s">
        <v>515</v>
      </c>
      <c r="F18" s="33"/>
      <c r="G18" s="33"/>
      <c r="H18" s="33"/>
      <c r="I18" s="33"/>
      <c r="J18" s="33"/>
      <c r="K18" s="33"/>
    </row>
    <row r="19" spans="1:11">
      <c r="A19" s="94" t="s">
        <v>516</v>
      </c>
      <c r="B19" s="95">
        <v>33</v>
      </c>
      <c r="C19" s="94" t="s">
        <v>517</v>
      </c>
      <c r="D19" s="94" t="s">
        <v>518</v>
      </c>
      <c r="E19" s="34" t="s">
        <v>519</v>
      </c>
      <c r="F19" s="33"/>
      <c r="G19" s="33"/>
      <c r="H19" s="33"/>
      <c r="I19" s="33"/>
      <c r="J19" s="33"/>
      <c r="K19" s="33"/>
    </row>
    <row r="20" spans="1:11">
      <c r="A20" s="94" t="s">
        <v>520</v>
      </c>
      <c r="B20" s="95">
        <v>27.12</v>
      </c>
      <c r="C20" s="94" t="s">
        <v>517</v>
      </c>
      <c r="D20" s="94" t="s">
        <v>518</v>
      </c>
      <c r="E20" s="34" t="s">
        <v>521</v>
      </c>
      <c r="F20" s="33"/>
      <c r="G20" s="33"/>
      <c r="H20" s="33"/>
      <c r="I20" s="33"/>
      <c r="J20" s="33"/>
      <c r="K20" s="33"/>
    </row>
    <row r="21" spans="1:11">
      <c r="A21" s="94" t="s">
        <v>522</v>
      </c>
      <c r="B21" s="95">
        <v>20.63</v>
      </c>
      <c r="C21" s="94" t="s">
        <v>517</v>
      </c>
      <c r="D21" s="94" t="s">
        <v>518</v>
      </c>
      <c r="E21" s="34" t="s">
        <v>523</v>
      </c>
      <c r="F21" s="33"/>
      <c r="G21" s="33"/>
      <c r="H21" s="33"/>
      <c r="I21" s="33"/>
      <c r="J21" s="33"/>
      <c r="K21" s="33"/>
    </row>
    <row r="22" spans="1:11">
      <c r="A22" s="94" t="s">
        <v>524</v>
      </c>
      <c r="B22" s="96">
        <v>0.01</v>
      </c>
      <c r="C22" s="94" t="s">
        <v>490</v>
      </c>
      <c r="D22" s="94" t="s">
        <v>518</v>
      </c>
      <c r="E22" s="34" t="s">
        <v>525</v>
      </c>
      <c r="F22" s="33"/>
      <c r="G22" s="33"/>
      <c r="H22" s="33"/>
      <c r="I22" s="33"/>
      <c r="J22" s="33"/>
      <c r="K22" s="33"/>
    </row>
    <row r="23" spans="1:11">
      <c r="A23" s="94" t="s">
        <v>526</v>
      </c>
      <c r="B23" s="95">
        <v>261</v>
      </c>
      <c r="C23" s="94" t="s">
        <v>527</v>
      </c>
      <c r="D23" s="94" t="s">
        <v>528</v>
      </c>
      <c r="E23" s="34" t="s">
        <v>529</v>
      </c>
      <c r="F23" s="33"/>
      <c r="G23" s="33"/>
      <c r="H23" s="33"/>
      <c r="I23" s="33"/>
      <c r="J23" s="33"/>
      <c r="K23" s="33"/>
    </row>
    <row r="24" spans="1:11">
      <c r="A24" s="94" t="s">
        <v>530</v>
      </c>
      <c r="B24" s="95">
        <v>11</v>
      </c>
      <c r="C24" s="94" t="s">
        <v>531</v>
      </c>
      <c r="D24" s="94" t="s">
        <v>532</v>
      </c>
      <c r="E24" s="34" t="s">
        <v>533</v>
      </c>
      <c r="F24" s="33"/>
      <c r="G24" s="33"/>
      <c r="H24" s="33"/>
      <c r="I24" s="33"/>
      <c r="J24" s="33"/>
      <c r="K24" s="33"/>
    </row>
    <row r="25" spans="1:11">
      <c r="A25" s="94" t="s">
        <v>534</v>
      </c>
      <c r="B25" s="95">
        <v>12.33</v>
      </c>
      <c r="C25" s="94" t="s">
        <v>531</v>
      </c>
      <c r="D25" s="94" t="s">
        <v>535</v>
      </c>
      <c r="E25" s="34" t="s">
        <v>536</v>
      </c>
      <c r="F25" s="33"/>
      <c r="G25" s="33"/>
      <c r="H25" s="33"/>
      <c r="I25" s="33"/>
      <c r="J25" s="33"/>
      <c r="K25" s="33"/>
    </row>
    <row r="26" spans="1:11">
      <c r="A26" s="94" t="s">
        <v>537</v>
      </c>
      <c r="B26" s="95">
        <v>0</v>
      </c>
      <c r="C26" s="94" t="s">
        <v>531</v>
      </c>
      <c r="D26" s="94" t="s">
        <v>538</v>
      </c>
      <c r="E26" s="34" t="s">
        <v>539</v>
      </c>
      <c r="F26" s="33"/>
      <c r="G26" s="33"/>
      <c r="H26" s="33"/>
      <c r="I26" s="33"/>
      <c r="J26" s="33"/>
      <c r="K26" s="33"/>
    </row>
    <row r="27" spans="1:11" ht="25.5">
      <c r="A27" s="94" t="s">
        <v>540</v>
      </c>
      <c r="B27" s="95">
        <v>33</v>
      </c>
      <c r="C27" s="94" t="s">
        <v>541</v>
      </c>
      <c r="D27" s="94" t="s">
        <v>542</v>
      </c>
      <c r="E27" s="34" t="s">
        <v>543</v>
      </c>
      <c r="F27" s="33"/>
      <c r="G27" s="33"/>
      <c r="H27" s="33"/>
      <c r="I27" s="33"/>
      <c r="J27" s="33"/>
      <c r="K27" s="33"/>
    </row>
    <row r="28" spans="1:11" ht="25.5">
      <c r="A28" s="94" t="s">
        <v>544</v>
      </c>
      <c r="B28" s="95">
        <v>3</v>
      </c>
      <c r="C28" s="94" t="s">
        <v>545</v>
      </c>
      <c r="D28" s="94" t="s">
        <v>546</v>
      </c>
      <c r="E28" s="34" t="s">
        <v>547</v>
      </c>
      <c r="F28" s="33"/>
      <c r="G28" s="33"/>
      <c r="H28" s="33"/>
      <c r="I28" s="33"/>
      <c r="J28" s="33"/>
      <c r="K28" s="33"/>
    </row>
    <row r="29" spans="1:11" ht="25.5">
      <c r="A29" s="94" t="s">
        <v>548</v>
      </c>
      <c r="B29" s="95">
        <v>1</v>
      </c>
      <c r="C29" s="94" t="s">
        <v>549</v>
      </c>
      <c r="D29" s="94" t="s">
        <v>550</v>
      </c>
      <c r="E29" s="34" t="s">
        <v>551</v>
      </c>
      <c r="F29" s="33"/>
      <c r="G29" s="33"/>
      <c r="H29" s="33"/>
      <c r="I29" s="33"/>
      <c r="J29" s="33"/>
      <c r="K29" s="33"/>
    </row>
    <row r="30" spans="1:11">
      <c r="A30" s="94" t="s">
        <v>552</v>
      </c>
      <c r="B30" s="95">
        <v>33</v>
      </c>
      <c r="C30" s="94" t="s">
        <v>483</v>
      </c>
      <c r="D30" s="94" t="s">
        <v>553</v>
      </c>
      <c r="E30" s="34" t="s">
        <v>554</v>
      </c>
      <c r="F30" s="33"/>
      <c r="G30" s="33"/>
      <c r="H30" s="33"/>
      <c r="I30" s="33"/>
      <c r="J30" s="33"/>
      <c r="K30" s="33"/>
    </row>
    <row r="31" spans="1:11">
      <c r="A31" s="94" t="s">
        <v>555</v>
      </c>
      <c r="B31" s="95">
        <v>1</v>
      </c>
      <c r="C31" s="94" t="s">
        <v>556</v>
      </c>
      <c r="D31" s="94" t="s">
        <v>557</v>
      </c>
      <c r="E31" s="34" t="s">
        <v>558</v>
      </c>
      <c r="F31" s="33"/>
      <c r="G31" s="33"/>
      <c r="H31" s="33"/>
      <c r="I31" s="33"/>
      <c r="J31" s="33"/>
      <c r="K31" s="33"/>
    </row>
    <row r="32" spans="1:11">
      <c r="A32" s="94" t="s">
        <v>559</v>
      </c>
      <c r="B32" s="96">
        <v>0.4</v>
      </c>
      <c r="C32" s="94" t="s">
        <v>490</v>
      </c>
      <c r="D32" s="94" t="s">
        <v>560</v>
      </c>
      <c r="E32" s="34" t="s">
        <v>561</v>
      </c>
      <c r="F32" s="33"/>
      <c r="G32" s="33"/>
      <c r="H32" s="33"/>
      <c r="I32" s="33"/>
      <c r="J32" s="33"/>
      <c r="K32" s="33"/>
    </row>
    <row r="33" spans="1:11">
      <c r="A33" s="94" t="s">
        <v>562</v>
      </c>
      <c r="B33" s="96">
        <v>8.2000000000000007E-3</v>
      </c>
      <c r="C33" s="94" t="s">
        <v>490</v>
      </c>
      <c r="D33" s="94" t="s">
        <v>563</v>
      </c>
      <c r="E33" s="34" t="s">
        <v>564</v>
      </c>
      <c r="F33" s="33"/>
      <c r="G33" s="33"/>
      <c r="H33" s="33"/>
      <c r="I33" s="33"/>
      <c r="J33" s="33"/>
      <c r="K33" s="33"/>
    </row>
    <row r="34" spans="1:11">
      <c r="A34" s="94" t="s">
        <v>565</v>
      </c>
      <c r="B34" s="96">
        <v>2.0000000000000001E-4</v>
      </c>
      <c r="C34" s="94" t="s">
        <v>490</v>
      </c>
      <c r="D34" s="94" t="s">
        <v>563</v>
      </c>
      <c r="E34" s="34" t="s">
        <v>566</v>
      </c>
      <c r="F34" s="33"/>
      <c r="G34" s="33"/>
      <c r="H34" s="33"/>
      <c r="I34" s="33"/>
      <c r="J34" s="33"/>
      <c r="K34" s="33"/>
    </row>
    <row r="35" spans="1:11">
      <c r="A35" s="94" t="s">
        <v>567</v>
      </c>
      <c r="B35" s="96">
        <v>2.7000000000000001E-3</v>
      </c>
      <c r="C35" s="94" t="s">
        <v>490</v>
      </c>
      <c r="D35" s="94" t="s">
        <v>563</v>
      </c>
      <c r="E35" s="34" t="s">
        <v>568</v>
      </c>
      <c r="F35" s="33"/>
      <c r="G35" s="33"/>
      <c r="H35" s="33"/>
      <c r="I35" s="33"/>
      <c r="J35" s="33"/>
      <c r="K35" s="33"/>
    </row>
    <row r="36" spans="1:11">
      <c r="A36" s="94" t="s">
        <v>569</v>
      </c>
      <c r="B36" s="96">
        <v>1E-4</v>
      </c>
      <c r="C36" s="94" t="s">
        <v>490</v>
      </c>
      <c r="D36" s="94" t="s">
        <v>563</v>
      </c>
      <c r="E36" s="34" t="s">
        <v>568</v>
      </c>
      <c r="F36" s="33"/>
      <c r="G36" s="33"/>
      <c r="H36" s="33"/>
      <c r="I36" s="33"/>
      <c r="J36" s="33"/>
      <c r="K36" s="33"/>
    </row>
    <row r="37" spans="1:11">
      <c r="A37" s="94" t="s">
        <v>570</v>
      </c>
      <c r="B37" s="95">
        <v>2</v>
      </c>
      <c r="C37" s="94" t="s">
        <v>571</v>
      </c>
      <c r="D37" s="94" t="s">
        <v>480</v>
      </c>
      <c r="E37" s="34" t="s">
        <v>572</v>
      </c>
      <c r="F37" s="33"/>
      <c r="G37" s="33"/>
      <c r="H37" s="33"/>
      <c r="I37" s="33"/>
      <c r="J37" s="33"/>
      <c r="K37" s="33"/>
    </row>
    <row r="38" spans="1:11">
      <c r="A38" s="94" t="s">
        <v>573</v>
      </c>
      <c r="B38" s="96">
        <v>0.03</v>
      </c>
      <c r="C38" s="94" t="s">
        <v>490</v>
      </c>
      <c r="D38" s="94" t="s">
        <v>574</v>
      </c>
      <c r="E38" s="34" t="s">
        <v>575</v>
      </c>
      <c r="F38" s="33"/>
      <c r="G38" s="33"/>
      <c r="H38" s="33"/>
      <c r="I38" s="33"/>
      <c r="J38" s="33"/>
      <c r="K38" s="33"/>
    </row>
    <row r="39" spans="1:11">
      <c r="A39" s="94" t="s">
        <v>576</v>
      </c>
      <c r="B39" s="96">
        <v>0.05</v>
      </c>
      <c r="C39" s="94" t="s">
        <v>490</v>
      </c>
      <c r="D39" s="94" t="s">
        <v>574</v>
      </c>
      <c r="E39" s="34" t="s">
        <v>577</v>
      </c>
      <c r="F39" s="33"/>
      <c r="G39" s="33"/>
      <c r="H39" s="33"/>
      <c r="I39" s="33"/>
      <c r="J39" s="33"/>
      <c r="K39" s="33"/>
    </row>
    <row r="40" spans="1:11">
      <c r="A40" s="94" t="s">
        <v>578</v>
      </c>
      <c r="B40" s="96">
        <v>6.4999999999999997E-3</v>
      </c>
      <c r="C40" s="94" t="s">
        <v>579</v>
      </c>
      <c r="D40" s="94" t="s">
        <v>580</v>
      </c>
      <c r="E40" s="34" t="s">
        <v>581</v>
      </c>
      <c r="F40" s="33"/>
      <c r="G40" s="33"/>
      <c r="H40" s="33"/>
      <c r="I40" s="33"/>
      <c r="J40" s="33"/>
      <c r="K40" s="33"/>
    </row>
    <row r="41" spans="1:11">
      <c r="A41" s="94" t="s">
        <v>582</v>
      </c>
      <c r="B41" s="96">
        <v>0.03</v>
      </c>
      <c r="C41" s="94" t="s">
        <v>579</v>
      </c>
      <c r="D41" s="94" t="s">
        <v>580</v>
      </c>
      <c r="E41" s="34" t="s">
        <v>583</v>
      </c>
      <c r="F41" s="33"/>
      <c r="G41" s="33"/>
      <c r="H41" s="33"/>
      <c r="I41" s="33"/>
      <c r="J41" s="33"/>
      <c r="K41" s="33"/>
    </row>
    <row r="42" spans="1:11" ht="25.5">
      <c r="A42" s="94" t="s">
        <v>584</v>
      </c>
      <c r="B42" s="96">
        <v>0.05</v>
      </c>
      <c r="C42" s="94" t="s">
        <v>579</v>
      </c>
      <c r="D42" s="94" t="s">
        <v>585</v>
      </c>
      <c r="E42" s="34" t="s">
        <v>586</v>
      </c>
      <c r="F42" s="33"/>
      <c r="G42" s="33"/>
      <c r="H42" s="33"/>
      <c r="I42" s="33"/>
      <c r="J42" s="33"/>
      <c r="K42" s="33"/>
    </row>
    <row r="43" spans="1:11">
      <c r="A43" s="94" t="s">
        <v>587</v>
      </c>
      <c r="B43" s="95">
        <v>37.92</v>
      </c>
      <c r="C43" s="94" t="s">
        <v>588</v>
      </c>
      <c r="D43" s="94" t="s">
        <v>589</v>
      </c>
      <c r="E43" s="34" t="s">
        <v>590</v>
      </c>
      <c r="F43" s="33"/>
      <c r="G43" s="33"/>
      <c r="H43" s="33"/>
      <c r="I43" s="33"/>
      <c r="J43" s="33"/>
      <c r="K43" s="33"/>
    </row>
    <row r="44" spans="1:11">
      <c r="A44" s="94" t="s">
        <v>591</v>
      </c>
      <c r="B44" s="95">
        <v>70.27</v>
      </c>
      <c r="C44" s="94" t="s">
        <v>588</v>
      </c>
      <c r="D44" s="94" t="s">
        <v>589</v>
      </c>
      <c r="E44" s="34" t="s">
        <v>590</v>
      </c>
      <c r="F44" s="33"/>
      <c r="G44" s="33"/>
      <c r="H44" s="33"/>
      <c r="I44" s="33"/>
      <c r="J44" s="33"/>
      <c r="K44" s="33"/>
    </row>
    <row r="45" spans="1:11">
      <c r="A45" s="94" t="s">
        <v>592</v>
      </c>
      <c r="B45" s="95">
        <v>87.25</v>
      </c>
      <c r="C45" s="94" t="s">
        <v>588</v>
      </c>
      <c r="D45" s="94" t="s">
        <v>593</v>
      </c>
      <c r="E45" s="34" t="s">
        <v>590</v>
      </c>
      <c r="F45" s="33"/>
      <c r="G45" s="33"/>
      <c r="H45" s="33"/>
      <c r="I45" s="33"/>
      <c r="J45" s="33"/>
      <c r="K45" s="33"/>
    </row>
    <row r="46" spans="1:11">
      <c r="A46" s="94" t="s">
        <v>594</v>
      </c>
      <c r="B46" s="95">
        <v>277.5</v>
      </c>
      <c r="C46" s="94" t="s">
        <v>588</v>
      </c>
      <c r="D46" s="94" t="s">
        <v>595</v>
      </c>
      <c r="E46" s="34" t="s">
        <v>590</v>
      </c>
      <c r="F46" s="33"/>
      <c r="G46" s="33"/>
      <c r="H46" s="33"/>
      <c r="I46" s="33"/>
      <c r="J46" s="33"/>
      <c r="K46" s="33"/>
    </row>
    <row r="47" spans="1:11">
      <c r="A47" s="94" t="s">
        <v>596</v>
      </c>
      <c r="B47" s="95">
        <v>45</v>
      </c>
      <c r="C47" s="94" t="s">
        <v>588</v>
      </c>
      <c r="D47" s="94" t="s">
        <v>597</v>
      </c>
      <c r="E47" s="34" t="s">
        <v>590</v>
      </c>
      <c r="F47" s="33"/>
      <c r="G47" s="33"/>
      <c r="H47" s="33"/>
      <c r="I47" s="33"/>
      <c r="J47" s="33"/>
      <c r="K47" s="33"/>
    </row>
    <row r="48" spans="1:11">
      <c r="A48" s="94" t="s">
        <v>598</v>
      </c>
      <c r="B48" s="95">
        <v>92</v>
      </c>
      <c r="C48" s="94" t="s">
        <v>588</v>
      </c>
      <c r="D48" s="94" t="s">
        <v>597</v>
      </c>
      <c r="E48" s="34" t="s">
        <v>590</v>
      </c>
      <c r="F48" s="33"/>
      <c r="G48" s="33"/>
      <c r="H48" s="33"/>
      <c r="I48" s="33"/>
      <c r="J48" s="33"/>
      <c r="K48" s="33"/>
    </row>
    <row r="49" spans="1:11">
      <c r="A49" s="94" t="s">
        <v>599</v>
      </c>
      <c r="B49" s="95">
        <v>67.5</v>
      </c>
      <c r="C49" s="94" t="s">
        <v>588</v>
      </c>
      <c r="D49" s="94" t="s">
        <v>597</v>
      </c>
      <c r="E49" s="34" t="s">
        <v>590</v>
      </c>
      <c r="F49" s="33"/>
      <c r="G49" s="33"/>
      <c r="H49" s="33"/>
      <c r="I49" s="33"/>
      <c r="J49" s="33"/>
      <c r="K49" s="33"/>
    </row>
    <row r="50" spans="1:11">
      <c r="A50" s="94" t="s">
        <v>600</v>
      </c>
      <c r="B50" s="95">
        <v>32.5</v>
      </c>
      <c r="C50" s="94" t="s">
        <v>588</v>
      </c>
      <c r="D50" s="94" t="s">
        <v>597</v>
      </c>
      <c r="E50" s="34" t="s">
        <v>590</v>
      </c>
      <c r="F50" s="33"/>
      <c r="G50" s="33"/>
      <c r="H50" s="33"/>
      <c r="I50" s="33"/>
      <c r="J50" s="33"/>
      <c r="K50" s="33"/>
    </row>
    <row r="51" spans="1:11">
      <c r="A51" s="94" t="s">
        <v>601</v>
      </c>
      <c r="B51" s="95">
        <v>7.3</v>
      </c>
      <c r="C51" s="94" t="s">
        <v>588</v>
      </c>
      <c r="D51" s="94" t="s">
        <v>602</v>
      </c>
      <c r="E51" s="34" t="s">
        <v>590</v>
      </c>
      <c r="F51" s="33"/>
      <c r="G51" s="33"/>
      <c r="H51" s="33"/>
      <c r="I51" s="33"/>
      <c r="J51" s="33"/>
      <c r="K51" s="33"/>
    </row>
    <row r="52" spans="1:11">
      <c r="A52" s="94" t="s">
        <v>603</v>
      </c>
      <c r="B52" s="95">
        <v>148.9</v>
      </c>
      <c r="C52" s="94" t="s">
        <v>588</v>
      </c>
      <c r="D52" s="94" t="s">
        <v>602</v>
      </c>
      <c r="E52" s="34" t="s">
        <v>590</v>
      </c>
      <c r="F52" s="33"/>
      <c r="G52" s="33"/>
      <c r="H52" s="33"/>
      <c r="I52" s="33"/>
      <c r="J52" s="33"/>
      <c r="K52" s="33"/>
    </row>
    <row r="53" spans="1:11">
      <c r="A53" s="94" t="s">
        <v>604</v>
      </c>
      <c r="B53" s="95">
        <v>16.5</v>
      </c>
      <c r="C53" s="94" t="s">
        <v>588</v>
      </c>
      <c r="D53" s="94" t="s">
        <v>605</v>
      </c>
      <c r="E53" s="34" t="s">
        <v>590</v>
      </c>
      <c r="F53" s="33"/>
      <c r="G53" s="33"/>
      <c r="H53" s="33"/>
      <c r="I53" s="33"/>
      <c r="J53" s="33"/>
      <c r="K53" s="33"/>
    </row>
    <row r="54" spans="1:11">
      <c r="A54" s="94" t="s">
        <v>606</v>
      </c>
      <c r="B54" s="95">
        <v>10</v>
      </c>
      <c r="C54" s="94" t="s">
        <v>588</v>
      </c>
      <c r="D54" s="94" t="s">
        <v>607</v>
      </c>
      <c r="E54" s="34" t="s">
        <v>590</v>
      </c>
      <c r="F54" s="33"/>
      <c r="G54" s="33"/>
      <c r="H54" s="33"/>
      <c r="I54" s="33"/>
      <c r="J54" s="33"/>
      <c r="K54" s="33"/>
    </row>
    <row r="55" spans="1:11">
      <c r="A55" s="94" t="s">
        <v>608</v>
      </c>
      <c r="B55" s="95">
        <v>12.37</v>
      </c>
      <c r="C55" s="94" t="s">
        <v>588</v>
      </c>
      <c r="D55" s="94" t="s">
        <v>609</v>
      </c>
      <c r="E55" s="34" t="s">
        <v>590</v>
      </c>
      <c r="F55" s="33"/>
      <c r="G55" s="33"/>
      <c r="H55" s="33"/>
      <c r="I55" s="33"/>
      <c r="J55" s="33"/>
      <c r="K55" s="33"/>
    </row>
    <row r="56" spans="1:11">
      <c r="A56" s="94" t="s">
        <v>610</v>
      </c>
      <c r="B56" s="95">
        <v>43.7</v>
      </c>
      <c r="C56" s="94" t="s">
        <v>588</v>
      </c>
      <c r="D56" s="94" t="s">
        <v>611</v>
      </c>
      <c r="E56" s="34" t="s">
        <v>590</v>
      </c>
      <c r="F56" s="33"/>
      <c r="G56" s="33"/>
      <c r="H56" s="33"/>
      <c r="I56" s="33"/>
      <c r="J56" s="33"/>
      <c r="K56" s="33"/>
    </row>
    <row r="57" spans="1:11" ht="25.5">
      <c r="A57" s="94" t="s">
        <v>612</v>
      </c>
      <c r="B57" s="95">
        <v>2</v>
      </c>
      <c r="C57" s="94" t="s">
        <v>613</v>
      </c>
      <c r="D57" s="94" t="s">
        <v>614</v>
      </c>
      <c r="E57" s="34" t="s">
        <v>615</v>
      </c>
      <c r="F57" s="33"/>
      <c r="G57" s="33"/>
      <c r="H57" s="33"/>
      <c r="I57" s="33"/>
      <c r="J57" s="33"/>
      <c r="K57" s="33"/>
    </row>
    <row r="58" spans="1:11" ht="25.5">
      <c r="A58" s="94" t="s">
        <v>616</v>
      </c>
      <c r="B58" s="95">
        <v>2</v>
      </c>
      <c r="C58" s="94" t="s">
        <v>613</v>
      </c>
      <c r="D58" s="94" t="s">
        <v>614</v>
      </c>
      <c r="E58" s="34" t="s">
        <v>617</v>
      </c>
      <c r="F58" s="33"/>
      <c r="G58" s="33"/>
      <c r="H58" s="33"/>
      <c r="I58" s="33"/>
      <c r="J58" s="33"/>
      <c r="K58" s="33"/>
    </row>
    <row r="59" spans="1:11">
      <c r="A59" s="94" t="s">
        <v>618</v>
      </c>
      <c r="B59" s="95">
        <v>1</v>
      </c>
      <c r="C59" s="94" t="s">
        <v>613</v>
      </c>
      <c r="D59" s="94" t="s">
        <v>619</v>
      </c>
      <c r="E59" s="34" t="s">
        <v>620</v>
      </c>
      <c r="F59" s="33"/>
      <c r="G59" s="33"/>
      <c r="H59" s="33"/>
      <c r="I59" s="33"/>
      <c r="J59" s="33"/>
      <c r="K59" s="33"/>
    </row>
    <row r="60" spans="1:11">
      <c r="A60" s="94" t="s">
        <v>621</v>
      </c>
      <c r="B60" s="95">
        <v>1</v>
      </c>
      <c r="C60" s="94" t="s">
        <v>613</v>
      </c>
      <c r="D60" s="94" t="s">
        <v>619</v>
      </c>
      <c r="E60" s="34" t="s">
        <v>620</v>
      </c>
      <c r="F60" s="33"/>
      <c r="G60" s="33"/>
      <c r="H60" s="33"/>
      <c r="I60" s="33"/>
      <c r="J60" s="33"/>
      <c r="K60" s="33"/>
    </row>
    <row r="61" spans="1:11">
      <c r="A61" s="94" t="s">
        <v>622</v>
      </c>
      <c r="B61" s="95">
        <v>24</v>
      </c>
      <c r="C61" s="94" t="s">
        <v>613</v>
      </c>
      <c r="D61" s="94" t="s">
        <v>619</v>
      </c>
      <c r="E61" s="34" t="s">
        <v>620</v>
      </c>
      <c r="F61" s="33"/>
      <c r="G61" s="33"/>
      <c r="H61" s="33"/>
      <c r="I61" s="33"/>
      <c r="J61" s="33"/>
      <c r="K61" s="33"/>
    </row>
    <row r="62" spans="1:11">
      <c r="A62" s="94" t="s">
        <v>623</v>
      </c>
      <c r="B62" s="95">
        <v>1</v>
      </c>
      <c r="C62" s="94" t="s">
        <v>613</v>
      </c>
      <c r="D62" s="94" t="s">
        <v>619</v>
      </c>
      <c r="E62" s="34" t="s">
        <v>620</v>
      </c>
      <c r="F62" s="33"/>
      <c r="G62" s="33"/>
      <c r="H62" s="33"/>
      <c r="I62" s="33"/>
      <c r="J62" s="33"/>
      <c r="K62" s="33"/>
    </row>
    <row r="63" spans="1:11">
      <c r="A63" s="94" t="s">
        <v>624</v>
      </c>
      <c r="B63" s="95">
        <v>2</v>
      </c>
      <c r="C63" s="94" t="s">
        <v>613</v>
      </c>
      <c r="D63" s="94" t="s">
        <v>619</v>
      </c>
      <c r="E63" s="34" t="s">
        <v>620</v>
      </c>
      <c r="F63" s="33"/>
      <c r="G63" s="33"/>
      <c r="H63" s="33"/>
      <c r="I63" s="33"/>
      <c r="J63" s="33"/>
      <c r="K63" s="33"/>
    </row>
    <row r="64" spans="1:11">
      <c r="A64" s="94" t="s">
        <v>625</v>
      </c>
      <c r="B64" s="95">
        <v>1</v>
      </c>
      <c r="C64" s="94" t="s">
        <v>613</v>
      </c>
      <c r="D64" s="94" t="s">
        <v>626</v>
      </c>
      <c r="E64" s="34" t="s">
        <v>627</v>
      </c>
      <c r="F64" s="33"/>
      <c r="G64" s="33"/>
      <c r="H64" s="33"/>
      <c r="I64" s="33"/>
      <c r="J64" s="33"/>
      <c r="K64" s="33"/>
    </row>
    <row r="65" spans="1:11">
      <c r="A65" s="94" t="s">
        <v>628</v>
      </c>
      <c r="B65" s="95">
        <v>1</v>
      </c>
      <c r="C65" s="94" t="s">
        <v>613</v>
      </c>
      <c r="D65" s="94" t="s">
        <v>629</v>
      </c>
      <c r="E65" s="34" t="s">
        <v>630</v>
      </c>
      <c r="F65" s="33"/>
      <c r="G65" s="33"/>
      <c r="H65" s="33"/>
      <c r="I65" s="33"/>
      <c r="J65" s="33"/>
      <c r="K65" s="33"/>
    </row>
    <row r="66" spans="1:11">
      <c r="A66" s="94" t="s">
        <v>631</v>
      </c>
      <c r="B66" s="95">
        <v>12</v>
      </c>
      <c r="C66" s="94" t="s">
        <v>632</v>
      </c>
      <c r="D66" s="94" t="s">
        <v>633</v>
      </c>
      <c r="E66" s="34" t="s">
        <v>634</v>
      </c>
      <c r="F66" s="33"/>
      <c r="G66" s="33"/>
      <c r="H66" s="33"/>
      <c r="I66" s="33"/>
      <c r="J66" s="33"/>
      <c r="K66" s="33"/>
    </row>
    <row r="67" spans="1:11">
      <c r="A67" s="94"/>
      <c r="B67" s="94"/>
      <c r="C67" s="94"/>
      <c r="D67" s="94"/>
      <c r="E67" s="34"/>
      <c r="F67" s="33"/>
      <c r="G67" s="33"/>
      <c r="H67" s="33"/>
      <c r="I67" s="33"/>
      <c r="J67" s="33"/>
      <c r="K67" s="33"/>
    </row>
    <row r="68" spans="1:11">
      <c r="A68" s="94" t="s">
        <v>635</v>
      </c>
      <c r="B68" s="97">
        <f>Parametros!$B$8+Parametros!$B$9*Parametros!$B$10+Parametros!$B$11+Parametros!$B$12+Parametros!$B$13+Parametros!$B$14+Parametros!$B$15</f>
        <v>0.28800000000000003</v>
      </c>
      <c r="C68" s="94"/>
      <c r="D68" s="94" t="s">
        <v>636</v>
      </c>
      <c r="E68" s="34"/>
      <c r="F68" s="33"/>
      <c r="G68" s="33"/>
      <c r="H68" s="33"/>
      <c r="I68" s="33"/>
      <c r="J68" s="33"/>
      <c r="K68" s="33"/>
    </row>
    <row r="69" spans="1:11">
      <c r="A69" s="94" t="s">
        <v>637</v>
      </c>
      <c r="B69" s="97">
        <f>Parametros!$B$68+Parametros!$B$16</f>
        <v>0.36800000000000005</v>
      </c>
      <c r="C69" s="94"/>
      <c r="D69" s="94" t="s">
        <v>636</v>
      </c>
      <c r="E69" s="34"/>
      <c r="F69" s="33"/>
      <c r="G69" s="33"/>
      <c r="H69" s="33"/>
      <c r="I69" s="33"/>
      <c r="J69" s="33"/>
      <c r="K69" s="33"/>
    </row>
    <row r="70" spans="1:11">
      <c r="A70" s="94" t="s">
        <v>638</v>
      </c>
      <c r="B70" s="97">
        <f>1/Parametros!$B$66+Parametros!$B$7/Parametros!$B$6/Parametros!$B$66+Parametros!$B$7/Parametros!$B$6/Parametros!$B$66/3</f>
        <v>0.19444444444444442</v>
      </c>
      <c r="C70" s="94"/>
      <c r="D70" s="94" t="s">
        <v>636</v>
      </c>
      <c r="E70" s="34"/>
      <c r="F70" s="33"/>
      <c r="G70" s="33"/>
      <c r="H70" s="33"/>
      <c r="I70" s="33"/>
      <c r="J70" s="33"/>
      <c r="K70" s="33"/>
    </row>
    <row r="71" spans="1:11">
      <c r="A71" s="94" t="s">
        <v>639</v>
      </c>
      <c r="B71" s="97">
        <f>Parametros!$B$37/(Parametros!$B$66*Parametros!$B$6)</f>
        <v>5.5555555555555558E-3</v>
      </c>
      <c r="C71" s="94"/>
      <c r="D71" s="94" t="s">
        <v>636</v>
      </c>
      <c r="E71" s="34"/>
      <c r="F71" s="33"/>
      <c r="G71" s="33"/>
      <c r="H71" s="33"/>
      <c r="I71" s="33"/>
      <c r="J71" s="33"/>
      <c r="K71" s="33"/>
    </row>
    <row r="72" spans="1:11">
      <c r="A72" s="94" t="s">
        <v>640</v>
      </c>
      <c r="B72" s="97">
        <f>Parametros!$B$33+Parametros!$B$34+Parametros!$B$35+Parametros!$B$36+Parametros!$B$71</f>
        <v>1.6755555555555558E-2</v>
      </c>
      <c r="C72" s="94"/>
      <c r="D72" s="94" t="s">
        <v>636</v>
      </c>
      <c r="E72" s="34"/>
      <c r="F72" s="33"/>
      <c r="G72" s="33"/>
      <c r="H72" s="33"/>
      <c r="I72" s="33"/>
      <c r="J72" s="33"/>
      <c r="K72" s="33"/>
    </row>
    <row r="73" spans="1:11">
      <c r="A73" s="94" t="s">
        <v>641</v>
      </c>
      <c r="B73" s="98">
        <f>Parametros!$B$57*Parametros!$B$43+Parametros!$B$58*Parametros!$B$44+Parametros!$B$59*Parametros!$B$45+Parametros!$B$60*Parametros!$B$46</f>
        <v>581.13</v>
      </c>
      <c r="C73" s="94"/>
      <c r="D73" s="94" t="s">
        <v>636</v>
      </c>
      <c r="E73" s="34"/>
      <c r="F73" s="33"/>
      <c r="G73" s="33"/>
      <c r="H73" s="33"/>
      <c r="I73" s="33"/>
      <c r="J73" s="33"/>
      <c r="K73" s="33"/>
    </row>
    <row r="74" spans="1:11">
      <c r="A74" s="94" t="s">
        <v>642</v>
      </c>
      <c r="B74" s="98">
        <f>Parametros!$B$73+Parametros!$B$64*Parametros!$B$53+Parametros!$B$65*Parametros!$B$54</f>
        <v>607.63</v>
      </c>
      <c r="C74" s="94"/>
      <c r="D74" s="94" t="s">
        <v>636</v>
      </c>
      <c r="E74" s="34"/>
      <c r="F74" s="33"/>
      <c r="G74" s="33"/>
      <c r="H74" s="33"/>
      <c r="I74" s="33"/>
      <c r="J74" s="33"/>
      <c r="K74" s="33"/>
    </row>
    <row r="75" spans="1:11">
      <c r="A75" s="94" t="s">
        <v>643</v>
      </c>
      <c r="B75" s="98">
        <f>Parametros!$B$57*Parametros!$B$47+Parametros!$B$58*Parametros!$B$48+Parametros!$B$57*Parametros!$B$49+Parametros!$B$57*Parametros!$B$50+Parametros!$B$59*Parametros!$B$45+Parametros!$B$60*Parametros!$B$46+Parametros!$B$62*Parametros!$B$52+Parametros!$B$61*Parametros!$B$51</f>
        <v>1162.8499999999999</v>
      </c>
      <c r="C75" s="94"/>
      <c r="D75" s="94" t="s">
        <v>636</v>
      </c>
      <c r="E75" s="34"/>
      <c r="F75" s="33"/>
      <c r="G75" s="33"/>
      <c r="H75" s="33"/>
      <c r="I75" s="33"/>
      <c r="J75" s="33"/>
      <c r="K75" s="33"/>
    </row>
    <row r="76" spans="1:11">
      <c r="A76" s="94" t="s">
        <v>644</v>
      </c>
      <c r="B76" s="98">
        <f>Parametros!$B$73+Parametros!$B$61*Parametros!$B$51+Parametros!$B$63*Parametros!$B$55+Parametros!$B$56+Parametros!$B$65*Parametros!$B$54</f>
        <v>834.77</v>
      </c>
      <c r="C76" s="94"/>
      <c r="D76" s="94" t="s">
        <v>636</v>
      </c>
      <c r="E76" s="34"/>
      <c r="F76" s="33"/>
      <c r="G76" s="33"/>
      <c r="H76" s="33"/>
      <c r="I76" s="33"/>
      <c r="J76" s="33"/>
      <c r="K76" s="33"/>
    </row>
    <row r="77" spans="1:11">
      <c r="A77" s="94" t="s">
        <v>645</v>
      </c>
      <c r="B77" s="98">
        <f>Parametros!$B$73+Parametros!$B$64*Parametros!$B$53</f>
        <v>597.63</v>
      </c>
      <c r="C77" s="94"/>
      <c r="D77" s="94" t="s">
        <v>636</v>
      </c>
      <c r="E77" s="34"/>
      <c r="F77" s="33"/>
      <c r="G77" s="33"/>
      <c r="H77" s="33"/>
      <c r="I77" s="33"/>
      <c r="J77" s="33"/>
      <c r="K77" s="33"/>
    </row>
    <row r="78" spans="1:11">
      <c r="A78" s="94" t="s">
        <v>646</v>
      </c>
      <c r="B78" s="98">
        <f>Parametros!$B$73</f>
        <v>581.13</v>
      </c>
      <c r="C78" s="94"/>
      <c r="D78" s="94" t="s">
        <v>636</v>
      </c>
      <c r="E78" s="34"/>
      <c r="F78" s="33"/>
      <c r="G78" s="33"/>
      <c r="H78" s="33"/>
      <c r="I78" s="33"/>
      <c r="J78" s="33"/>
      <c r="K78" s="33"/>
    </row>
    <row r="79" spans="1:11">
      <c r="A79" s="94" t="s">
        <v>647</v>
      </c>
      <c r="B79" s="99">
        <f>220</f>
        <v>220</v>
      </c>
      <c r="C79" s="94"/>
      <c r="D79" s="94" t="s">
        <v>636</v>
      </c>
      <c r="E79" s="34"/>
      <c r="F79" s="33"/>
      <c r="G79" s="33"/>
      <c r="H79" s="33"/>
      <c r="I79" s="33"/>
      <c r="J79" s="33"/>
      <c r="K79" s="33"/>
    </row>
    <row r="80" spans="1:11">
      <c r="A80" s="94" t="s">
        <v>648</v>
      </c>
      <c r="B80" s="99">
        <f>180</f>
        <v>180</v>
      </c>
      <c r="C80" s="94"/>
      <c r="D80" s="94" t="s">
        <v>636</v>
      </c>
      <c r="E80" s="34"/>
      <c r="F80" s="33"/>
      <c r="G80" s="33"/>
      <c r="H80" s="33"/>
      <c r="I80" s="33"/>
      <c r="J80" s="33"/>
      <c r="K80" s="33"/>
    </row>
    <row r="81" spans="1:11">
      <c r="A81" s="94" t="s">
        <v>649</v>
      </c>
      <c r="B81" s="99">
        <f>120</f>
        <v>120</v>
      </c>
      <c r="C81" s="94"/>
      <c r="D81" s="94" t="s">
        <v>636</v>
      </c>
      <c r="E81" s="34"/>
      <c r="F81" s="33"/>
      <c r="G81" s="33"/>
      <c r="H81" s="33"/>
      <c r="I81" s="33"/>
      <c r="J81" s="33"/>
      <c r="K81" s="33"/>
    </row>
    <row r="82" spans="1:1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</row>
    <row r="83" spans="1:1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</row>
    <row r="84" spans="1:1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</row>
    <row r="85" spans="1:1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</row>
    <row r="86" spans="1:1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</row>
    <row r="87" spans="1:1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</row>
    <row r="88" spans="1:1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</row>
    <row r="89" spans="1:1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</row>
    <row r="90" spans="1:1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</row>
    <row r="91" spans="1:1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</row>
    <row r="92" spans="1:1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</row>
    <row r="93" spans="1:1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</row>
    <row r="94" spans="1:1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</row>
    <row r="95" spans="1:1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</row>
    <row r="96" spans="1:1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</row>
    <row r="97" spans="1:1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</row>
    <row r="98" spans="1:1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</row>
    <row r="99" spans="1:1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</row>
    <row r="100" spans="1:1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</row>
    <row r="101" spans="1:1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</row>
    <row r="102" spans="1:1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</row>
    <row r="103" spans="1:1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</row>
    <row r="104" spans="1:1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</row>
    <row r="105" spans="1:1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</row>
    <row r="106" spans="1:1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</row>
    <row r="107" spans="1:1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</row>
    <row r="108" spans="1:1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</row>
    <row r="109" spans="1:1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</row>
    <row r="110" spans="1:1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</row>
  </sheetData>
  <mergeCells count="2">
    <mergeCell ref="A1:E1"/>
    <mergeCell ref="A2:E2"/>
  </mergeCells>
  <dataValidations count="3">
    <dataValidation type="whole" operator="equal" sqref="B29" xr:uid="{00000000-0002-0000-0900-000000000000}">
      <formula1>1</formula1>
    </dataValidation>
    <dataValidation type="whole" sqref="B18" xr:uid="{00000000-0002-0000-0900-000001000000}">
      <formula1>0</formula1>
      <formula2>1</formula2>
    </dataValidation>
    <dataValidation type="whole" operator="equal" sqref="B66" xr:uid="{00000000-0002-0000-0900-000002000000}">
      <formula1>12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163C51"/>
  </sheetPr>
  <dimension ref="A1:K110"/>
  <sheetViews>
    <sheetView showGridLines="0" topLeftCell="F1" workbookViewId="0">
      <pane ySplit="4" topLeftCell="A5" activePane="bottomLeft" state="frozen"/>
      <selection pane="bottomLeft" activeCell="A62" sqref="A62:J64"/>
    </sheetView>
  </sheetViews>
  <sheetFormatPr defaultRowHeight="14.25"/>
  <cols>
    <col min="1" max="1" width="42" customWidth="1"/>
    <col min="2" max="5" width="22" customWidth="1"/>
    <col min="6" max="6" width="27.25" customWidth="1"/>
    <col min="7" max="7" width="25.25" customWidth="1"/>
    <col min="8" max="8" width="27.875" customWidth="1"/>
    <col min="9" max="9" width="25" customWidth="1"/>
    <col min="10" max="10" width="46" customWidth="1"/>
  </cols>
  <sheetData>
    <row r="1" spans="1:11" ht="30" customHeight="1">
      <c r="A1" s="68" t="s">
        <v>650</v>
      </c>
      <c r="B1" s="68"/>
      <c r="C1" s="68"/>
      <c r="D1" s="68"/>
      <c r="E1" s="68"/>
      <c r="F1" s="68"/>
      <c r="G1" s="68"/>
      <c r="H1" s="68"/>
      <c r="I1" s="68"/>
      <c r="J1" s="68"/>
      <c r="K1" s="33"/>
    </row>
    <row r="2" spans="1:11" ht="35.1" customHeight="1">
      <c r="A2" s="70" t="s">
        <v>651</v>
      </c>
      <c r="B2" s="70"/>
      <c r="C2" s="70"/>
      <c r="D2" s="70"/>
      <c r="E2" s="70"/>
      <c r="F2" s="70"/>
      <c r="G2" s="70"/>
      <c r="H2" s="70"/>
      <c r="I2" s="70"/>
      <c r="J2" s="70"/>
      <c r="K2" s="33"/>
    </row>
    <row r="3" spans="1:1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25.5">
      <c r="A4" s="100" t="s">
        <v>652</v>
      </c>
      <c r="B4" s="100" t="s">
        <v>653</v>
      </c>
      <c r="C4" s="100" t="s">
        <v>654</v>
      </c>
      <c r="D4" s="100" t="s">
        <v>655</v>
      </c>
      <c r="E4" s="100" t="s">
        <v>656</v>
      </c>
      <c r="F4" s="100" t="s">
        <v>657</v>
      </c>
      <c r="G4" s="100" t="s">
        <v>658</v>
      </c>
      <c r="H4" s="100" t="s">
        <v>659</v>
      </c>
      <c r="I4" s="100" t="s">
        <v>660</v>
      </c>
      <c r="J4" s="100" t="s">
        <v>661</v>
      </c>
      <c r="K4" s="33"/>
    </row>
    <row r="5" spans="1:11">
      <c r="A5" s="101" t="s">
        <v>662</v>
      </c>
      <c r="B5" s="102">
        <v>20</v>
      </c>
      <c r="C5" s="102">
        <v>5</v>
      </c>
      <c r="D5" s="102">
        <v>5</v>
      </c>
      <c r="E5" s="102">
        <v>25</v>
      </c>
      <c r="F5" s="102">
        <v>60</v>
      </c>
      <c r="G5" s="102">
        <v>5</v>
      </c>
      <c r="H5" s="102">
        <v>5</v>
      </c>
      <c r="I5" s="102">
        <v>20</v>
      </c>
      <c r="J5" s="101"/>
      <c r="K5" s="33"/>
    </row>
    <row r="6" spans="1:11">
      <c r="A6" s="101" t="s">
        <v>663</v>
      </c>
      <c r="B6" s="102">
        <v>40</v>
      </c>
      <c r="C6" s="102">
        <v>40</v>
      </c>
      <c r="D6" s="102">
        <v>40</v>
      </c>
      <c r="E6" s="102">
        <v>30</v>
      </c>
      <c r="F6" s="102">
        <v>30</v>
      </c>
      <c r="G6" s="102">
        <v>40</v>
      </c>
      <c r="H6" s="102">
        <v>40</v>
      </c>
      <c r="I6" s="102">
        <v>20</v>
      </c>
      <c r="J6" s="101"/>
      <c r="K6" s="33"/>
    </row>
    <row r="7" spans="1:11">
      <c r="A7" s="101" t="s">
        <v>664</v>
      </c>
      <c r="B7" s="103">
        <v>2496.27</v>
      </c>
      <c r="C7" s="103">
        <v>1857.54</v>
      </c>
      <c r="D7" s="103">
        <v>1752.85</v>
      </c>
      <c r="E7" s="103">
        <v>1752.85</v>
      </c>
      <c r="F7" s="103">
        <v>1752.85</v>
      </c>
      <c r="G7" s="103">
        <v>1910.81</v>
      </c>
      <c r="H7" s="103">
        <v>1910.81</v>
      </c>
      <c r="I7" s="103">
        <v>1910.81</v>
      </c>
      <c r="J7" s="101"/>
      <c r="K7" s="33"/>
    </row>
    <row r="8" spans="1:11">
      <c r="A8" s="101" t="s">
        <v>665</v>
      </c>
      <c r="B8" s="104">
        <f>IF(B6=30,Parametros!$B$80/Parametros!$B$79,IF(B6=20,Parametros!$B$81/Parametros!$B$79,1))</f>
        <v>1</v>
      </c>
      <c r="C8" s="104">
        <f>IF(C6=30,Parametros!$B$80/Parametros!$B$79,IF(C6=20,Parametros!$B$81/Parametros!$B$79,1))</f>
        <v>1</v>
      </c>
      <c r="D8" s="104">
        <f>IF(D6=30,Parametros!$B$80/Parametros!$B$79,IF(D6=20,Parametros!$B$81/Parametros!$B$79,1))</f>
        <v>1</v>
      </c>
      <c r="E8" s="104">
        <f>IF(E6=30,Parametros!$B$80/Parametros!$B$79,IF(E6=20,Parametros!$B$81/Parametros!$B$79,1))</f>
        <v>0.81818181818181823</v>
      </c>
      <c r="F8" s="104">
        <f>IF(F6=30,Parametros!$B$80/Parametros!$B$79,IF(F6=20,Parametros!$B$81/Parametros!$B$79,1))</f>
        <v>0.81818181818181823</v>
      </c>
      <c r="G8" s="104">
        <f>IF(G6=30,Parametros!$B$80/Parametros!$B$79,IF(G6=20,Parametros!$B$81/Parametros!$B$79,1))</f>
        <v>1</v>
      </c>
      <c r="H8" s="104">
        <f>IF(H6=30,Parametros!$B$80/Parametros!$B$79,IF(H6=20,Parametros!$B$81/Parametros!$B$79,1))</f>
        <v>1</v>
      </c>
      <c r="I8" s="104">
        <f>IF(I6=30,Parametros!$B$80/Parametros!$B$79,IF(I6=20,Parametros!$B$81/Parametros!$B$79,1))</f>
        <v>0.54545454545454541</v>
      </c>
      <c r="J8" s="101"/>
      <c r="K8" s="33"/>
    </row>
    <row r="9" spans="1:11">
      <c r="A9" s="101" t="s">
        <v>666</v>
      </c>
      <c r="B9" s="105">
        <f t="shared" ref="B9:I9" si="0">ROUND(B7*B8,2)</f>
        <v>2496.27</v>
      </c>
      <c r="C9" s="105">
        <f t="shared" si="0"/>
        <v>1857.54</v>
      </c>
      <c r="D9" s="105">
        <f t="shared" si="0"/>
        <v>1752.85</v>
      </c>
      <c r="E9" s="105">
        <f t="shared" si="0"/>
        <v>1434.15</v>
      </c>
      <c r="F9" s="105">
        <f t="shared" si="0"/>
        <v>1434.15</v>
      </c>
      <c r="G9" s="105">
        <f t="shared" si="0"/>
        <v>1910.81</v>
      </c>
      <c r="H9" s="105">
        <f t="shared" si="0"/>
        <v>1910.81</v>
      </c>
      <c r="I9" s="105">
        <f t="shared" si="0"/>
        <v>1042.26</v>
      </c>
      <c r="J9" s="101"/>
      <c r="K9" s="33"/>
    </row>
    <row r="10" spans="1:11" ht="25.5">
      <c r="A10" s="101" t="s">
        <v>667</v>
      </c>
      <c r="B10" s="106">
        <v>0</v>
      </c>
      <c r="C10" s="106">
        <v>0</v>
      </c>
      <c r="D10" s="106">
        <v>0.2</v>
      </c>
      <c r="E10" s="106">
        <v>0.2</v>
      </c>
      <c r="F10" s="106">
        <v>0</v>
      </c>
      <c r="G10" s="106">
        <v>0</v>
      </c>
      <c r="H10" s="106">
        <v>0</v>
      </c>
      <c r="I10" s="106">
        <v>0</v>
      </c>
      <c r="J10" s="101" t="s">
        <v>668</v>
      </c>
      <c r="K10" s="33"/>
    </row>
    <row r="11" spans="1:11">
      <c r="A11" s="101" t="s">
        <v>669</v>
      </c>
      <c r="B11" s="105">
        <f t="shared" ref="B11:I11" si="1">ROUND(B9*B10,2)</f>
        <v>0</v>
      </c>
      <c r="C11" s="105">
        <f t="shared" si="1"/>
        <v>0</v>
      </c>
      <c r="D11" s="105">
        <f t="shared" si="1"/>
        <v>350.57</v>
      </c>
      <c r="E11" s="105">
        <f t="shared" si="1"/>
        <v>286.83</v>
      </c>
      <c r="F11" s="105">
        <f t="shared" si="1"/>
        <v>0</v>
      </c>
      <c r="G11" s="105">
        <f t="shared" si="1"/>
        <v>0</v>
      </c>
      <c r="H11" s="105">
        <f t="shared" si="1"/>
        <v>0</v>
      </c>
      <c r="I11" s="105">
        <f t="shared" si="1"/>
        <v>0</v>
      </c>
      <c r="J11" s="101"/>
      <c r="K11" s="33"/>
    </row>
    <row r="12" spans="1:11">
      <c r="A12" s="107" t="s">
        <v>670</v>
      </c>
      <c r="B12" s="108">
        <f t="shared" ref="B12:I12" si="2">B9+B11</f>
        <v>2496.27</v>
      </c>
      <c r="C12" s="108">
        <f t="shared" si="2"/>
        <v>1857.54</v>
      </c>
      <c r="D12" s="108">
        <f t="shared" si="2"/>
        <v>2103.42</v>
      </c>
      <c r="E12" s="108">
        <f t="shared" si="2"/>
        <v>1720.98</v>
      </c>
      <c r="F12" s="108">
        <f t="shared" si="2"/>
        <v>1434.15</v>
      </c>
      <c r="G12" s="108">
        <f t="shared" si="2"/>
        <v>1910.81</v>
      </c>
      <c r="H12" s="108">
        <f t="shared" si="2"/>
        <v>1910.81</v>
      </c>
      <c r="I12" s="108">
        <f t="shared" si="2"/>
        <v>1042.26</v>
      </c>
      <c r="J12" s="107"/>
      <c r="K12" s="33"/>
    </row>
    <row r="13" spans="1:11">
      <c r="A13" s="101" t="s">
        <v>671</v>
      </c>
      <c r="B13" s="105">
        <f>(B12+B18)/Parametros!$B$66</f>
        <v>222.58407499999998</v>
      </c>
      <c r="C13" s="105">
        <f>(C12+C18)/Parametros!$B$66</f>
        <v>165.63065</v>
      </c>
      <c r="D13" s="105">
        <f>(D12+D18)/Parametros!$B$66</f>
        <v>187.55494999999999</v>
      </c>
      <c r="E13" s="105">
        <f>(E12+E18)/Parametros!$B$66</f>
        <v>153.45405</v>
      </c>
      <c r="F13" s="105">
        <f>(F12+F18)/Parametros!$B$66</f>
        <v>127.87837500000001</v>
      </c>
      <c r="G13" s="105">
        <f>(G12+G18)/Parametros!$B$66</f>
        <v>170.38055833333331</v>
      </c>
      <c r="H13" s="105">
        <f>(H12+H18)/Parametros!$B$66</f>
        <v>170.38055833333331</v>
      </c>
      <c r="I13" s="105">
        <f>(I12+I18)/Parametros!$B$66</f>
        <v>92.934849999999997</v>
      </c>
      <c r="J13" s="101"/>
      <c r="K13" s="33"/>
    </row>
    <row r="14" spans="1:11">
      <c r="A14" s="101" t="s">
        <v>672</v>
      </c>
      <c r="B14" s="105">
        <f>(B12+B18)*Parametros!$B$7/Parametros!$B$6/Parametros!$B$66</f>
        <v>222.58407499999998</v>
      </c>
      <c r="C14" s="105">
        <f>(C12+C18)*Parametros!$B$7/Parametros!$B$6/Parametros!$B$66</f>
        <v>165.63065</v>
      </c>
      <c r="D14" s="105">
        <f>(D12+D18)*Parametros!$B$7/Parametros!$B$6/Parametros!$B$66</f>
        <v>187.55494999999999</v>
      </c>
      <c r="E14" s="105">
        <f>(E12+E18)*Parametros!$B$7/Parametros!$B$6/Parametros!$B$66</f>
        <v>153.45405</v>
      </c>
      <c r="F14" s="105">
        <f>(F12+F18)*Parametros!$B$7/Parametros!$B$6/Parametros!$B$66</f>
        <v>127.87837500000001</v>
      </c>
      <c r="G14" s="105">
        <f>(G12+G18)*Parametros!$B$7/Parametros!$B$6/Parametros!$B$66</f>
        <v>170.38055833333331</v>
      </c>
      <c r="H14" s="105">
        <f>(H12+H18)*Parametros!$B$7/Parametros!$B$6/Parametros!$B$66</f>
        <v>170.38055833333331</v>
      </c>
      <c r="I14" s="105">
        <f>(I12+I18)*Parametros!$B$7/Parametros!$B$6/Parametros!$B$66</f>
        <v>92.934849999999997</v>
      </c>
      <c r="J14" s="101" t="s">
        <v>673</v>
      </c>
      <c r="K14" s="33"/>
    </row>
    <row r="15" spans="1:11">
      <c r="A15" s="101" t="s">
        <v>674</v>
      </c>
      <c r="B15" s="105">
        <f t="shared" ref="B15:I15" si="3">B14/3</f>
        <v>74.194691666666657</v>
      </c>
      <c r="C15" s="105">
        <f t="shared" si="3"/>
        <v>55.210216666666668</v>
      </c>
      <c r="D15" s="105">
        <f t="shared" si="3"/>
        <v>62.518316666666664</v>
      </c>
      <c r="E15" s="105">
        <f t="shared" si="3"/>
        <v>51.151350000000001</v>
      </c>
      <c r="F15" s="105">
        <f t="shared" si="3"/>
        <v>42.626125000000002</v>
      </c>
      <c r="G15" s="105">
        <f t="shared" si="3"/>
        <v>56.793519444444435</v>
      </c>
      <c r="H15" s="105">
        <f t="shared" si="3"/>
        <v>56.793519444444435</v>
      </c>
      <c r="I15" s="105">
        <f t="shared" si="3"/>
        <v>30.978283333333334</v>
      </c>
      <c r="J15" s="101"/>
      <c r="K15" s="33"/>
    </row>
    <row r="16" spans="1:11">
      <c r="A16" s="107" t="s">
        <v>675</v>
      </c>
      <c r="B16" s="108">
        <f t="shared" ref="B16:I16" si="4">SUM(B13:B15)</f>
        <v>519.36284166666667</v>
      </c>
      <c r="C16" s="108">
        <f t="shared" si="4"/>
        <v>386.47151666666667</v>
      </c>
      <c r="D16" s="108">
        <f t="shared" si="4"/>
        <v>437.62821666666662</v>
      </c>
      <c r="E16" s="108">
        <f t="shared" si="4"/>
        <v>358.05944999999997</v>
      </c>
      <c r="F16" s="108">
        <f t="shared" si="4"/>
        <v>298.38287500000001</v>
      </c>
      <c r="G16" s="108">
        <f t="shared" si="4"/>
        <v>397.55463611111105</v>
      </c>
      <c r="H16" s="108">
        <f t="shared" si="4"/>
        <v>397.55463611111105</v>
      </c>
      <c r="I16" s="108">
        <f t="shared" si="4"/>
        <v>216.84798333333333</v>
      </c>
      <c r="J16" s="107"/>
      <c r="K16" s="33"/>
    </row>
    <row r="17" spans="1:11">
      <c r="A17" s="101" t="s">
        <v>676</v>
      </c>
      <c r="B17" s="105">
        <f>(B12+B16)*Parametros!$B$69+B18*Parametros!$B$16</f>
        <v>1123.7319977333334</v>
      </c>
      <c r="C17" s="105">
        <f>(C12+C16)*Parametros!$B$69+C18*Parametros!$B$16</f>
        <v>836.19846213333346</v>
      </c>
      <c r="D17" s="105">
        <f>(D12+D16)*Parametros!$B$69+D18*Parametros!$B$16</f>
        <v>946.88489573333334</v>
      </c>
      <c r="E17" s="105">
        <f>(E12+E16)*Parametros!$B$69+E18*Parametros!$B$16</f>
        <v>774.72400560000017</v>
      </c>
      <c r="F17" s="105">
        <f>(F12+F16)*Parametros!$B$69+F18*Parametros!$B$16</f>
        <v>645.60333800000012</v>
      </c>
      <c r="G17" s="105">
        <f>(G12+G16)*Parametros!$B$69+G18*Parametros!$B$16</f>
        <v>860.17872208888889</v>
      </c>
      <c r="H17" s="105">
        <f>(H12+H16)*Parametros!$B$69+H18*Parametros!$B$16</f>
        <v>860.17872208888889</v>
      </c>
      <c r="I17" s="105">
        <f>(I12+I16)*Parametros!$B$69+I18*Parametros!$B$16</f>
        <v>469.18839386666673</v>
      </c>
      <c r="J17" s="101"/>
      <c r="K17" s="33"/>
    </row>
    <row r="18" spans="1:11" ht="25.5">
      <c r="A18" s="101" t="s">
        <v>677</v>
      </c>
      <c r="B18" s="105">
        <f>B12*Parametros!$B$17</f>
        <v>174.73890000000003</v>
      </c>
      <c r="C18" s="105">
        <f>C12*Parametros!$B$17</f>
        <v>130.02780000000001</v>
      </c>
      <c r="D18" s="105">
        <f>D12*Parametros!$B$17</f>
        <v>147.23940000000002</v>
      </c>
      <c r="E18" s="105">
        <f>E12*Parametros!$B$17</f>
        <v>120.46860000000001</v>
      </c>
      <c r="F18" s="105">
        <f>F12*Parametros!$B$17</f>
        <v>100.39050000000002</v>
      </c>
      <c r="G18" s="105">
        <f>G12*Parametros!$B$17</f>
        <v>133.7567</v>
      </c>
      <c r="H18" s="105">
        <f>H12*Parametros!$B$17</f>
        <v>133.7567</v>
      </c>
      <c r="I18" s="105">
        <f>I12*Parametros!$B$17</f>
        <v>72.958200000000005</v>
      </c>
      <c r="J18" s="101" t="s">
        <v>678</v>
      </c>
      <c r="K18" s="33"/>
    </row>
    <row r="19" spans="1:11" ht="25.5">
      <c r="A19" s="101" t="s">
        <v>679</v>
      </c>
      <c r="B19" s="105">
        <f>B18*Parametros!$B$68*Parametros!$B$18</f>
        <v>50.324803200000012</v>
      </c>
      <c r="C19" s="105">
        <f>C18*Parametros!$B$68*Parametros!$B$18</f>
        <v>37.448006400000011</v>
      </c>
      <c r="D19" s="105">
        <f>D18*Parametros!$B$68*Parametros!$B$18</f>
        <v>42.404947200000009</v>
      </c>
      <c r="E19" s="105">
        <f>E18*Parametros!$B$68*Parametros!$B$18</f>
        <v>34.694956800000007</v>
      </c>
      <c r="F19" s="105">
        <f>F18*Parametros!$B$68*Parametros!$B$18</f>
        <v>28.912464000000007</v>
      </c>
      <c r="G19" s="105">
        <f>G18*Parametros!$B$68*Parametros!$B$18</f>
        <v>38.5219296</v>
      </c>
      <c r="H19" s="105">
        <f>H18*Parametros!$B$68*Parametros!$B$18</f>
        <v>38.5219296</v>
      </c>
      <c r="I19" s="105">
        <f>I18*Parametros!$B$68*Parametros!$B$18</f>
        <v>21.011961600000003</v>
      </c>
      <c r="J19" s="101" t="s">
        <v>680</v>
      </c>
      <c r="K19" s="33"/>
    </row>
    <row r="20" spans="1:11">
      <c r="A20" s="107" t="s">
        <v>681</v>
      </c>
      <c r="B20" s="108">
        <f t="shared" ref="B20:I20" si="5">B17+B19</f>
        <v>1174.0568009333333</v>
      </c>
      <c r="C20" s="108">
        <f t="shared" si="5"/>
        <v>873.64646853333352</v>
      </c>
      <c r="D20" s="108">
        <f t="shared" si="5"/>
        <v>989.28984293333338</v>
      </c>
      <c r="E20" s="108">
        <f t="shared" si="5"/>
        <v>809.41896240000017</v>
      </c>
      <c r="F20" s="108">
        <f t="shared" si="5"/>
        <v>674.51580200000012</v>
      </c>
      <c r="G20" s="108">
        <f t="shared" si="5"/>
        <v>898.70065168888891</v>
      </c>
      <c r="H20" s="108">
        <f t="shared" si="5"/>
        <v>898.70065168888891</v>
      </c>
      <c r="I20" s="108">
        <f t="shared" si="5"/>
        <v>490.20035546666674</v>
      </c>
      <c r="J20" s="107"/>
      <c r="K20" s="33"/>
    </row>
    <row r="21" spans="1:11">
      <c r="A21" s="101" t="s">
        <v>682</v>
      </c>
      <c r="B21" s="105">
        <f>IF(B6=40,Parametros!$B$19,IF(B6=30,Parametros!$B$20,Parametros!$B$21))*Parametros!$B$23/Parametros!$B$66*(1-Parametros!$B$22)</f>
        <v>710.57249999999999</v>
      </c>
      <c r="C21" s="105">
        <f>IF(C6=40,Parametros!$B$19,IF(C6=30,Parametros!$B$20,Parametros!$B$21))*Parametros!$B$23/Parametros!$B$66*(1-Parametros!$B$22)</f>
        <v>710.57249999999999</v>
      </c>
      <c r="D21" s="105">
        <f>IF(D6=40,Parametros!$B$19,IF(D6=30,Parametros!$B$20,Parametros!$B$21))*Parametros!$B$23/Parametros!$B$66*(1-Parametros!$B$22)</f>
        <v>710.57249999999999</v>
      </c>
      <c r="E21" s="105">
        <f>IF(E6=40,Parametros!$B$19,IF(E6=30,Parametros!$B$20,Parametros!$B$21))*Parametros!$B$23/Parametros!$B$66*(1-Parametros!$B$22)</f>
        <v>583.96140000000003</v>
      </c>
      <c r="F21" s="105">
        <f>IF(F6=40,Parametros!$B$19,IF(F6=30,Parametros!$B$20,Parametros!$B$21))*Parametros!$B$23/Parametros!$B$66*(1-Parametros!$B$22)</f>
        <v>583.96140000000003</v>
      </c>
      <c r="G21" s="105">
        <f>IF(G6=40,Parametros!$B$19,IF(G6=30,Parametros!$B$20,Parametros!$B$21))*Parametros!$B$23/Parametros!$B$66*(1-Parametros!$B$22)</f>
        <v>710.57249999999999</v>
      </c>
      <c r="H21" s="105">
        <f>IF(H6=40,Parametros!$B$19,IF(H6=30,Parametros!$B$20,Parametros!$B$21))*Parametros!$B$23/Parametros!$B$66*(1-Parametros!$B$22)</f>
        <v>710.57249999999999</v>
      </c>
      <c r="I21" s="105">
        <f>IF(I6=40,Parametros!$B$19,IF(I6=30,Parametros!$B$20,Parametros!$B$21))*Parametros!$B$23/Parametros!$B$66*(1-Parametros!$B$22)</f>
        <v>444.21547499999991</v>
      </c>
      <c r="J21" s="101"/>
      <c r="K21" s="33"/>
    </row>
    <row r="22" spans="1:11">
      <c r="A22" s="101" t="s">
        <v>530</v>
      </c>
      <c r="B22" s="105">
        <f>Parametros!$B$24</f>
        <v>11</v>
      </c>
      <c r="C22" s="105">
        <f>Parametros!$B$24</f>
        <v>11</v>
      </c>
      <c r="D22" s="105">
        <f>Parametros!$B$24</f>
        <v>11</v>
      </c>
      <c r="E22" s="105">
        <f>Parametros!$B$24</f>
        <v>11</v>
      </c>
      <c r="F22" s="105">
        <f>Parametros!$B$24</f>
        <v>11</v>
      </c>
      <c r="G22" s="105">
        <f>Parametros!$B$24</f>
        <v>11</v>
      </c>
      <c r="H22" s="105">
        <f>Parametros!$B$24</f>
        <v>11</v>
      </c>
      <c r="I22" s="105">
        <f>Parametros!$B$24</f>
        <v>11</v>
      </c>
      <c r="J22" s="101"/>
      <c r="K22" s="33"/>
    </row>
    <row r="23" spans="1:11">
      <c r="A23" s="101" t="s">
        <v>683</v>
      </c>
      <c r="B23" s="105">
        <f>Parametros!$B$25</f>
        <v>12.33</v>
      </c>
      <c r="C23" s="105">
        <f>Parametros!$B$25</f>
        <v>12.33</v>
      </c>
      <c r="D23" s="105">
        <f>Parametros!$B$25</f>
        <v>12.33</v>
      </c>
      <c r="E23" s="105">
        <f>Parametros!$B$25</f>
        <v>12.33</v>
      </c>
      <c r="F23" s="105">
        <f>Parametros!$B$25</f>
        <v>12.33</v>
      </c>
      <c r="G23" s="105">
        <f>Parametros!$B$25</f>
        <v>12.33</v>
      </c>
      <c r="H23" s="105">
        <f>Parametros!$B$25</f>
        <v>12.33</v>
      </c>
      <c r="I23" s="105">
        <f>Parametros!$B$25</f>
        <v>12.33</v>
      </c>
      <c r="J23" s="101"/>
      <c r="K23" s="33"/>
    </row>
    <row r="24" spans="1:11">
      <c r="A24" s="101" t="s">
        <v>684</v>
      </c>
      <c r="B24" s="105">
        <f>Parametros!$B$26</f>
        <v>0</v>
      </c>
      <c r="C24" s="105">
        <f>Parametros!$B$26</f>
        <v>0</v>
      </c>
      <c r="D24" s="105">
        <f>Parametros!$B$26</f>
        <v>0</v>
      </c>
      <c r="E24" s="105">
        <f>Parametros!$B$26</f>
        <v>0</v>
      </c>
      <c r="F24" s="105">
        <f>Parametros!$B$26</f>
        <v>0</v>
      </c>
      <c r="G24" s="105">
        <f>Parametros!$B$26</f>
        <v>0</v>
      </c>
      <c r="H24" s="105">
        <f>Parametros!$B$26</f>
        <v>0</v>
      </c>
      <c r="I24" s="105">
        <f>Parametros!$B$26</f>
        <v>0</v>
      </c>
      <c r="J24" s="101"/>
      <c r="K24" s="33"/>
    </row>
    <row r="25" spans="1:11">
      <c r="A25" s="107" t="s">
        <v>685</v>
      </c>
      <c r="B25" s="108">
        <f t="shared" ref="B25:I25" si="6">B18+SUM(B21:B24)</f>
        <v>908.64140000000009</v>
      </c>
      <c r="C25" s="108">
        <f t="shared" si="6"/>
        <v>863.93029999999999</v>
      </c>
      <c r="D25" s="108">
        <f t="shared" si="6"/>
        <v>881.14190000000008</v>
      </c>
      <c r="E25" s="108">
        <f t="shared" si="6"/>
        <v>727.7600000000001</v>
      </c>
      <c r="F25" s="108">
        <f t="shared" si="6"/>
        <v>707.68190000000004</v>
      </c>
      <c r="G25" s="108">
        <f t="shared" si="6"/>
        <v>867.65920000000006</v>
      </c>
      <c r="H25" s="108">
        <f t="shared" si="6"/>
        <v>867.65920000000006</v>
      </c>
      <c r="I25" s="108">
        <f t="shared" si="6"/>
        <v>540.50367499999993</v>
      </c>
      <c r="J25" s="107"/>
      <c r="K25" s="33"/>
    </row>
    <row r="26" spans="1:11">
      <c r="A26" s="107" t="s">
        <v>686</v>
      </c>
      <c r="B26" s="108">
        <f t="shared" ref="B26:I26" si="7">B16+B20+B25</f>
        <v>2602.0610425999998</v>
      </c>
      <c r="C26" s="108">
        <f t="shared" si="7"/>
        <v>2124.0482852000005</v>
      </c>
      <c r="D26" s="108">
        <f t="shared" si="7"/>
        <v>2308.0599596000002</v>
      </c>
      <c r="E26" s="108">
        <f t="shared" si="7"/>
        <v>1895.2384124000005</v>
      </c>
      <c r="F26" s="108">
        <f t="shared" si="7"/>
        <v>1680.5805770000002</v>
      </c>
      <c r="G26" s="108">
        <f t="shared" si="7"/>
        <v>2163.9144877999997</v>
      </c>
      <c r="H26" s="108">
        <f t="shared" si="7"/>
        <v>2163.9144877999997</v>
      </c>
      <c r="I26" s="108">
        <f t="shared" si="7"/>
        <v>1247.5520137999999</v>
      </c>
      <c r="J26" s="107"/>
      <c r="K26" s="33"/>
    </row>
    <row r="27" spans="1:11" ht="38.25">
      <c r="A27" s="101" t="s">
        <v>687</v>
      </c>
      <c r="B27" s="105">
        <f>Parametros!$B$74/Parametros!$B$66</f>
        <v>50.635833333333331</v>
      </c>
      <c r="C27" s="105">
        <f>Parametros!$B$75/Parametros!$B$66</f>
        <v>96.904166666666654</v>
      </c>
      <c r="D27" s="105">
        <f>Parametros!$B$76/Parametros!$B$66</f>
        <v>69.564166666666665</v>
      </c>
      <c r="E27" s="105">
        <f>Parametros!$B$76/Parametros!$B$66</f>
        <v>69.564166666666665</v>
      </c>
      <c r="F27" s="105">
        <f>Parametros!$B$77/Parametros!$B$66</f>
        <v>49.802500000000002</v>
      </c>
      <c r="G27" s="105">
        <f>Parametros!$B$78/Parametros!$B$66</f>
        <v>48.427500000000002</v>
      </c>
      <c r="H27" s="105">
        <f>Parametros!$B$78/Parametros!$B$66</f>
        <v>48.427500000000002</v>
      </c>
      <c r="I27" s="105">
        <f>Parametros!$B$78/Parametros!$B$66</f>
        <v>48.427500000000002</v>
      </c>
      <c r="J27" s="101" t="s">
        <v>688</v>
      </c>
      <c r="K27" s="33"/>
    </row>
    <row r="28" spans="1:11" ht="25.5">
      <c r="A28" s="101" t="s">
        <v>689</v>
      </c>
      <c r="B28" s="105">
        <f>Parametros!$B$27*Parametros!$B$28/Parametros!$B$66</f>
        <v>8.25</v>
      </c>
      <c r="C28" s="105">
        <f>Parametros!$B$27*Parametros!$B$28/Parametros!$B$66</f>
        <v>8.25</v>
      </c>
      <c r="D28" s="105">
        <f>Parametros!$B$27*Parametros!$B$28/Parametros!$B$66</f>
        <v>8.25</v>
      </c>
      <c r="E28" s="105">
        <f>Parametros!$B$27*Parametros!$B$28/Parametros!$B$66</f>
        <v>8.25</v>
      </c>
      <c r="F28" s="105">
        <f>Parametros!$B$27*Parametros!$B$28/Parametros!$B$66</f>
        <v>8.25</v>
      </c>
      <c r="G28" s="105">
        <f>Parametros!$B$27*Parametros!$B$28/Parametros!$B$66</f>
        <v>8.25</v>
      </c>
      <c r="H28" s="105">
        <f>Parametros!$B$27*Parametros!$B$28/Parametros!$B$66</f>
        <v>8.25</v>
      </c>
      <c r="I28" s="105">
        <f>Parametros!$B$27*Parametros!$B$28/Parametros!$B$66</f>
        <v>8.25</v>
      </c>
      <c r="J28" s="101" t="s">
        <v>690</v>
      </c>
      <c r="K28" s="33"/>
    </row>
    <row r="29" spans="1:11">
      <c r="A29" s="107" t="s">
        <v>691</v>
      </c>
      <c r="B29" s="108">
        <f t="shared" ref="B29:I29" si="8">B27+B28</f>
        <v>58.885833333333331</v>
      </c>
      <c r="C29" s="108">
        <f t="shared" si="8"/>
        <v>105.15416666666665</v>
      </c>
      <c r="D29" s="108">
        <f t="shared" si="8"/>
        <v>77.814166666666665</v>
      </c>
      <c r="E29" s="108">
        <f t="shared" si="8"/>
        <v>77.814166666666665</v>
      </c>
      <c r="F29" s="108">
        <f t="shared" si="8"/>
        <v>58.052500000000002</v>
      </c>
      <c r="G29" s="108">
        <f t="shared" si="8"/>
        <v>56.677500000000002</v>
      </c>
      <c r="H29" s="108">
        <f t="shared" si="8"/>
        <v>56.677500000000002</v>
      </c>
      <c r="I29" s="108">
        <f t="shared" si="8"/>
        <v>56.677500000000002</v>
      </c>
      <c r="J29" s="107"/>
      <c r="K29" s="33"/>
    </row>
    <row r="30" spans="1:11" ht="25.5">
      <c r="A30" s="101" t="s">
        <v>692</v>
      </c>
      <c r="B30" s="105">
        <f>(B12+B18)*Parametros!$B$70/Parametros!$B$66</f>
        <v>43.280236805555546</v>
      </c>
      <c r="C30" s="105">
        <f>(C12+C18)*Parametros!$B$70/Parametros!$B$66</f>
        <v>32.205959722222218</v>
      </c>
      <c r="D30" s="105">
        <f>(D12+D18)*Parametros!$B$70/Parametros!$B$66</f>
        <v>36.469018055555551</v>
      </c>
      <c r="E30" s="105">
        <f>(E12+E18)*Parametros!$B$70/Parametros!$B$66</f>
        <v>29.838287499999996</v>
      </c>
      <c r="F30" s="105">
        <f>(F12+F18)*Parametros!$B$70/Parametros!$B$66</f>
        <v>24.865239583333331</v>
      </c>
      <c r="G30" s="105">
        <f>(G12+G18)*Parametros!$B$70/Parametros!$B$66</f>
        <v>33.129553009259254</v>
      </c>
      <c r="H30" s="105">
        <f>(H12+H18)*Parametros!$B$70/Parametros!$B$66</f>
        <v>33.129553009259254</v>
      </c>
      <c r="I30" s="105">
        <f>(I12+I18)*Parametros!$B$70/Parametros!$B$66</f>
        <v>18.070665277777774</v>
      </c>
      <c r="J30" s="101" t="s">
        <v>693</v>
      </c>
      <c r="K30" s="33"/>
    </row>
    <row r="31" spans="1:11">
      <c r="A31" s="101" t="s">
        <v>694</v>
      </c>
      <c r="B31" s="105">
        <f>B30*Parametros!$B$69</f>
        <v>15.927127144444443</v>
      </c>
      <c r="C31" s="105">
        <f>C30*Parametros!$B$69</f>
        <v>11.851793177777777</v>
      </c>
      <c r="D31" s="105">
        <f>D30*Parametros!$B$69</f>
        <v>13.420598644444445</v>
      </c>
      <c r="E31" s="105">
        <f>E30*Parametros!$B$69</f>
        <v>10.980489800000001</v>
      </c>
      <c r="F31" s="105">
        <f>F30*Parametros!$B$69</f>
        <v>9.1504081666666668</v>
      </c>
      <c r="G31" s="105">
        <f>G30*Parametros!$B$69</f>
        <v>12.191675507407407</v>
      </c>
      <c r="H31" s="105">
        <f>H30*Parametros!$B$69</f>
        <v>12.191675507407407</v>
      </c>
      <c r="I31" s="105">
        <f>I30*Parametros!$B$69</f>
        <v>6.6500048222222219</v>
      </c>
      <c r="J31" s="101"/>
      <c r="K31" s="33"/>
    </row>
    <row r="32" spans="1:11">
      <c r="A32" s="101" t="s">
        <v>695</v>
      </c>
      <c r="B32" s="105">
        <f>(B22+B23+B29)/Parametros!$B$66</f>
        <v>6.851319444444445</v>
      </c>
      <c r="C32" s="105">
        <f>(C22+C23+C29)/Parametros!$B$66</f>
        <v>10.707013888888888</v>
      </c>
      <c r="D32" s="105">
        <f>(D22+D23+D29)/Parametros!$B$66</f>
        <v>8.4286805555555553</v>
      </c>
      <c r="E32" s="105">
        <f>(E22+E23+E29)/Parametros!$B$66</f>
        <v>8.4286805555555553</v>
      </c>
      <c r="F32" s="105">
        <f>(F22+F23+F29)/Parametros!$B$66</f>
        <v>6.7818749999999994</v>
      </c>
      <c r="G32" s="105">
        <f>(G22+G23+G29)/Parametros!$B$66</f>
        <v>6.6672916666666664</v>
      </c>
      <c r="H32" s="105">
        <f>(H22+H23+H29)/Parametros!$B$66</f>
        <v>6.6672916666666664</v>
      </c>
      <c r="I32" s="105">
        <f>(I22+I23+I29)/Parametros!$B$66</f>
        <v>6.6672916666666664</v>
      </c>
      <c r="J32" s="101" t="s">
        <v>696</v>
      </c>
      <c r="K32" s="33"/>
    </row>
    <row r="33" spans="1:11">
      <c r="A33" s="101" t="s">
        <v>697</v>
      </c>
      <c r="B33" s="105">
        <f t="shared" ref="B33:I33" si="9">B12+B26+B29-B21-B24</f>
        <v>4446.6443759333333</v>
      </c>
      <c r="C33" s="105">
        <f t="shared" si="9"/>
        <v>3376.1699518666674</v>
      </c>
      <c r="D33" s="105">
        <f t="shared" si="9"/>
        <v>3778.721626266667</v>
      </c>
      <c r="E33" s="105">
        <f t="shared" si="9"/>
        <v>3110.0711790666669</v>
      </c>
      <c r="F33" s="105">
        <f t="shared" si="9"/>
        <v>2588.8216769999999</v>
      </c>
      <c r="G33" s="105">
        <f t="shared" si="9"/>
        <v>3420.8294877999997</v>
      </c>
      <c r="H33" s="105">
        <f t="shared" si="9"/>
        <v>3420.8294877999997</v>
      </c>
      <c r="I33" s="105">
        <f t="shared" si="9"/>
        <v>1902.2740387999997</v>
      </c>
      <c r="J33" s="101"/>
      <c r="K33" s="33"/>
    </row>
    <row r="34" spans="1:11">
      <c r="A34" s="101" t="s">
        <v>698</v>
      </c>
      <c r="B34" s="105">
        <f>B33*Parametros!$B$33</f>
        <v>36.462483882653338</v>
      </c>
      <c r="C34" s="105">
        <f>C33*Parametros!$B$33</f>
        <v>27.684593605306674</v>
      </c>
      <c r="D34" s="105">
        <f>D33*Parametros!$B$33</f>
        <v>30.985517335386671</v>
      </c>
      <c r="E34" s="105">
        <f>E33*Parametros!$B$33</f>
        <v>25.50258366834667</v>
      </c>
      <c r="F34" s="105">
        <f>F33*Parametros!$B$33</f>
        <v>21.228337751400002</v>
      </c>
      <c r="G34" s="105">
        <f>G33*Parametros!$B$33</f>
        <v>28.050801799959999</v>
      </c>
      <c r="H34" s="105">
        <f>H33*Parametros!$B$33</f>
        <v>28.050801799959999</v>
      </c>
      <c r="I34" s="105">
        <f>I33*Parametros!$B$33</f>
        <v>15.598647118159999</v>
      </c>
      <c r="J34" s="101"/>
      <c r="K34" s="33"/>
    </row>
    <row r="35" spans="1:11">
      <c r="A35" s="101" t="s">
        <v>699</v>
      </c>
      <c r="B35" s="105">
        <f>B33*Parametros!$B$34</f>
        <v>0.8893288751866667</v>
      </c>
      <c r="C35" s="105">
        <f>C33*Parametros!$B$34</f>
        <v>0.67523399037333354</v>
      </c>
      <c r="D35" s="105">
        <f>D33*Parametros!$B$34</f>
        <v>0.75574432525333346</v>
      </c>
      <c r="E35" s="105">
        <f>E33*Parametros!$B$34</f>
        <v>0.62201423581333337</v>
      </c>
      <c r="F35" s="105">
        <f>F33*Parametros!$B$34</f>
        <v>0.5177643354</v>
      </c>
      <c r="G35" s="105">
        <f>G33*Parametros!$B$34</f>
        <v>0.68416589756000001</v>
      </c>
      <c r="H35" s="105">
        <f>H33*Parametros!$B$34</f>
        <v>0.68416589756000001</v>
      </c>
      <c r="I35" s="105">
        <f>I33*Parametros!$B$34</f>
        <v>0.38045480775999996</v>
      </c>
      <c r="J35" s="101"/>
      <c r="K35" s="33"/>
    </row>
    <row r="36" spans="1:11">
      <c r="A36" s="101" t="s">
        <v>700</v>
      </c>
      <c r="B36" s="105">
        <f>B33*Parametros!$B$35</f>
        <v>12.005939815020001</v>
      </c>
      <c r="C36" s="105">
        <f>C33*Parametros!$B$35</f>
        <v>9.1156588700400025</v>
      </c>
      <c r="D36" s="105">
        <f>D33*Parametros!$B$35</f>
        <v>10.202548390920002</v>
      </c>
      <c r="E36" s="105">
        <f>E33*Parametros!$B$35</f>
        <v>8.3971921834800014</v>
      </c>
      <c r="F36" s="105">
        <f>F33*Parametros!$B$35</f>
        <v>6.9898185278999998</v>
      </c>
      <c r="G36" s="105">
        <f>G33*Parametros!$B$35</f>
        <v>9.236239617059999</v>
      </c>
      <c r="H36" s="105">
        <f>H33*Parametros!$B$35</f>
        <v>9.236239617059999</v>
      </c>
      <c r="I36" s="105">
        <f>I33*Parametros!$B$35</f>
        <v>5.1361399047599994</v>
      </c>
      <c r="J36" s="101"/>
      <c r="K36" s="33"/>
    </row>
    <row r="37" spans="1:11">
      <c r="A37" s="101" t="s">
        <v>701</v>
      </c>
      <c r="B37" s="105">
        <f>B33*Parametros!$B$36</f>
        <v>0.44466443759333335</v>
      </c>
      <c r="C37" s="105">
        <f>C33*Parametros!$B$36</f>
        <v>0.33761699518666677</v>
      </c>
      <c r="D37" s="105">
        <f>D33*Parametros!$B$36</f>
        <v>0.37787216262666673</v>
      </c>
      <c r="E37" s="105">
        <f>E33*Parametros!$B$36</f>
        <v>0.31100711790666669</v>
      </c>
      <c r="F37" s="105">
        <f>F33*Parametros!$B$36</f>
        <v>0.2588821677</v>
      </c>
      <c r="G37" s="105">
        <f>G33*Parametros!$B$36</f>
        <v>0.34208294878000001</v>
      </c>
      <c r="H37" s="105">
        <f>H33*Parametros!$B$36</f>
        <v>0.34208294878000001</v>
      </c>
      <c r="I37" s="105">
        <f>I33*Parametros!$B$36</f>
        <v>0.19022740387999998</v>
      </c>
      <c r="J37" s="101"/>
      <c r="K37" s="33"/>
    </row>
    <row r="38" spans="1:11">
      <c r="A38" s="101" t="s">
        <v>702</v>
      </c>
      <c r="B38" s="105">
        <f>B33*Parametros!$B$71</f>
        <v>24.703579866296298</v>
      </c>
      <c r="C38" s="105">
        <f>C33*Parametros!$B$71</f>
        <v>18.756499732592598</v>
      </c>
      <c r="D38" s="105">
        <f>D33*Parametros!$B$71</f>
        <v>20.992897923703708</v>
      </c>
      <c r="E38" s="105">
        <f>E33*Parametros!$B$71</f>
        <v>17.27817321703704</v>
      </c>
      <c r="F38" s="105">
        <f>F33*Parametros!$B$71</f>
        <v>14.38234265</v>
      </c>
      <c r="G38" s="105">
        <f>G33*Parametros!$B$71</f>
        <v>19.004608265555554</v>
      </c>
      <c r="H38" s="105">
        <f>H33*Parametros!$B$71</f>
        <v>19.004608265555554</v>
      </c>
      <c r="I38" s="105">
        <f>I33*Parametros!$B$71</f>
        <v>10.568189104444443</v>
      </c>
      <c r="J38" s="101"/>
      <c r="K38" s="33"/>
    </row>
    <row r="39" spans="1:11">
      <c r="A39" s="101" t="s">
        <v>703</v>
      </c>
      <c r="B39" s="105">
        <f t="shared" ref="B39:I39" si="10">SUM(B34:B38)</f>
        <v>74.505996876749634</v>
      </c>
      <c r="C39" s="105">
        <f t="shared" si="10"/>
        <v>56.569603193499276</v>
      </c>
      <c r="D39" s="105">
        <f t="shared" si="10"/>
        <v>63.314580137890381</v>
      </c>
      <c r="E39" s="105">
        <f t="shared" si="10"/>
        <v>52.110970422583719</v>
      </c>
      <c r="F39" s="105">
        <f t="shared" si="10"/>
        <v>43.377145432399999</v>
      </c>
      <c r="G39" s="105">
        <f t="shared" si="10"/>
        <v>57.317898528915556</v>
      </c>
      <c r="H39" s="105">
        <f t="shared" si="10"/>
        <v>57.317898528915556</v>
      </c>
      <c r="I39" s="105">
        <f t="shared" si="10"/>
        <v>31.873658339004443</v>
      </c>
      <c r="J39" s="101"/>
      <c r="K39" s="33"/>
    </row>
    <row r="40" spans="1:11">
      <c r="A40" s="107" t="s">
        <v>704</v>
      </c>
      <c r="B40" s="108">
        <f t="shared" ref="B40:I40" si="11">B30+B31+B32+B39</f>
        <v>140.56468027119405</v>
      </c>
      <c r="C40" s="108">
        <f t="shared" si="11"/>
        <v>111.33436998238815</v>
      </c>
      <c r="D40" s="108">
        <f t="shared" si="11"/>
        <v>121.63287739344594</v>
      </c>
      <c r="E40" s="108">
        <f t="shared" si="11"/>
        <v>101.35842827813927</v>
      </c>
      <c r="F40" s="108">
        <f t="shared" si="11"/>
        <v>84.174668182399998</v>
      </c>
      <c r="G40" s="108">
        <f t="shared" si="11"/>
        <v>109.30641871224888</v>
      </c>
      <c r="H40" s="108">
        <f t="shared" si="11"/>
        <v>109.30641871224888</v>
      </c>
      <c r="I40" s="108">
        <f t="shared" si="11"/>
        <v>63.261620105671106</v>
      </c>
      <c r="J40" s="107"/>
      <c r="K40" s="33"/>
    </row>
    <row r="41" spans="1:11">
      <c r="A41" s="101" t="s">
        <v>705</v>
      </c>
      <c r="B41" s="105">
        <f>(B12+B18)*Parametros!$B$30/Parametros!$B$6/Parametros!$B$66</f>
        <v>244.84248249999999</v>
      </c>
      <c r="C41" s="105">
        <f>(C12+C18)*Parametros!$B$30/Parametros!$B$6/Parametros!$B$66</f>
        <v>182.193715</v>
      </c>
      <c r="D41" s="105">
        <f>(D12+D18)*Parametros!$B$30/Parametros!$B$6/Parametros!$B$66</f>
        <v>206.31044499999999</v>
      </c>
      <c r="E41" s="105">
        <f>(E12+E18)*Parametros!$B$30/Parametros!$B$6/Parametros!$B$66</f>
        <v>168.79945499999999</v>
      </c>
      <c r="F41" s="105">
        <f>(F12+F18)*Parametros!$B$30/Parametros!$B$6/Parametros!$B$66</f>
        <v>140.6662125</v>
      </c>
      <c r="G41" s="105">
        <f>(G12+G18)*Parametros!$B$30/Parametros!$B$6/Parametros!$B$66</f>
        <v>187.41861416666666</v>
      </c>
      <c r="H41" s="105">
        <f>(H12+H18)*Parametros!$B$30/Parametros!$B$6/Parametros!$B$66</f>
        <v>187.41861416666666</v>
      </c>
      <c r="I41" s="105">
        <f>(I12+I18)*Parametros!$B$30/Parametros!$B$6/Parametros!$B$66</f>
        <v>102.22833500000002</v>
      </c>
      <c r="J41" s="101" t="s">
        <v>706</v>
      </c>
      <c r="K41" s="33"/>
    </row>
    <row r="42" spans="1:11">
      <c r="A42" s="101" t="s">
        <v>707</v>
      </c>
      <c r="B42" s="105">
        <f>B41*Parametros!$B$16</f>
        <v>19.5873986</v>
      </c>
      <c r="C42" s="105">
        <f>C41*Parametros!$B$16</f>
        <v>14.575497200000001</v>
      </c>
      <c r="D42" s="105">
        <f>D41*Parametros!$B$16</f>
        <v>16.5048356</v>
      </c>
      <c r="E42" s="105">
        <f>E41*Parametros!$B$16</f>
        <v>13.5039564</v>
      </c>
      <c r="F42" s="105">
        <f>F41*Parametros!$B$16</f>
        <v>11.253297</v>
      </c>
      <c r="G42" s="105">
        <f>G41*Parametros!$B$16</f>
        <v>14.993489133333332</v>
      </c>
      <c r="H42" s="105">
        <f>H41*Parametros!$B$16</f>
        <v>14.993489133333332</v>
      </c>
      <c r="I42" s="105">
        <f>I41*Parametros!$B$16</f>
        <v>8.1782668000000012</v>
      </c>
      <c r="J42" s="101" t="s">
        <v>708</v>
      </c>
      <c r="K42" s="33"/>
    </row>
    <row r="43" spans="1:11">
      <c r="A43" s="101" t="s">
        <v>709</v>
      </c>
      <c r="B43" s="105">
        <f>(B12+B18)*Parametros!$B$31/Parametros!$B$66/Parametros!$B$66</f>
        <v>18.548672916666664</v>
      </c>
      <c r="C43" s="105">
        <f>(C12+C18)*Parametros!$B$31/Parametros!$B$66/Parametros!$B$66</f>
        <v>13.802554166666667</v>
      </c>
      <c r="D43" s="105">
        <f>(D12+D18)*Parametros!$B$31/Parametros!$B$66/Parametros!$B$66</f>
        <v>15.629579166666666</v>
      </c>
      <c r="E43" s="105">
        <f>(E12+E18)*Parametros!$B$31/Parametros!$B$66/Parametros!$B$66</f>
        <v>12.7878375</v>
      </c>
      <c r="F43" s="105">
        <f>(F12+F18)*Parametros!$B$31/Parametros!$B$66/Parametros!$B$66</f>
        <v>10.65653125</v>
      </c>
      <c r="G43" s="105">
        <f>(G12+G18)*Parametros!$B$31/Parametros!$B$66/Parametros!$B$66</f>
        <v>14.198379861111109</v>
      </c>
      <c r="H43" s="105">
        <f>(H12+H18)*Parametros!$B$31/Parametros!$B$66/Parametros!$B$66</f>
        <v>14.198379861111109</v>
      </c>
      <c r="I43" s="105">
        <f>(I12+I18)*Parametros!$B$31/Parametros!$B$66/Parametros!$B$66</f>
        <v>7.7445708333333334</v>
      </c>
      <c r="J43" s="101"/>
      <c r="K43" s="33"/>
    </row>
    <row r="44" spans="1:11">
      <c r="A44" s="101" t="s">
        <v>710</v>
      </c>
      <c r="B44" s="105">
        <f>B43*Parametros!$B$69</f>
        <v>6.825911633333333</v>
      </c>
      <c r="C44" s="105">
        <f>C43*Parametros!$B$69</f>
        <v>5.0793399333333342</v>
      </c>
      <c r="D44" s="105">
        <f>D43*Parametros!$B$69</f>
        <v>5.7516851333333339</v>
      </c>
      <c r="E44" s="105">
        <f>E43*Parametros!$B$69</f>
        <v>4.705924200000001</v>
      </c>
      <c r="F44" s="105">
        <f>F43*Parametros!$B$69</f>
        <v>3.9216035000000007</v>
      </c>
      <c r="G44" s="105">
        <f>G43*Parametros!$B$69</f>
        <v>5.2250037888888885</v>
      </c>
      <c r="H44" s="105">
        <f>H43*Parametros!$B$69</f>
        <v>5.2250037888888885</v>
      </c>
      <c r="I44" s="105">
        <f>I43*Parametros!$B$69</f>
        <v>2.8500020666666672</v>
      </c>
      <c r="J44" s="101" t="s">
        <v>711</v>
      </c>
      <c r="K44" s="33"/>
    </row>
    <row r="45" spans="1:11">
      <c r="A45" s="101" t="s">
        <v>712</v>
      </c>
      <c r="B45" s="105">
        <f t="shared" ref="B45:I45" si="12">B43*(1+1/3)</f>
        <v>24.731563888888886</v>
      </c>
      <c r="C45" s="105">
        <f t="shared" si="12"/>
        <v>18.403405555555555</v>
      </c>
      <c r="D45" s="105">
        <f t="shared" si="12"/>
        <v>20.839438888888886</v>
      </c>
      <c r="E45" s="105">
        <f t="shared" si="12"/>
        <v>17.050449999999998</v>
      </c>
      <c r="F45" s="105">
        <f t="shared" si="12"/>
        <v>14.208708333333334</v>
      </c>
      <c r="G45" s="105">
        <f t="shared" si="12"/>
        <v>18.931173148148144</v>
      </c>
      <c r="H45" s="105">
        <f t="shared" si="12"/>
        <v>18.931173148148144</v>
      </c>
      <c r="I45" s="105">
        <f t="shared" si="12"/>
        <v>10.326094444444443</v>
      </c>
      <c r="J45" s="101" t="s">
        <v>713</v>
      </c>
      <c r="K45" s="33"/>
    </row>
    <row r="46" spans="1:11" ht="38.25">
      <c r="A46" s="101" t="s">
        <v>714</v>
      </c>
      <c r="B46" s="105">
        <f>0</f>
        <v>0</v>
      </c>
      <c r="C46" s="105">
        <f>0</f>
        <v>0</v>
      </c>
      <c r="D46" s="105">
        <f>0</f>
        <v>0</v>
      </c>
      <c r="E46" s="105">
        <f>0</f>
        <v>0</v>
      </c>
      <c r="F46" s="105">
        <f>0</f>
        <v>0</v>
      </c>
      <c r="G46" s="105">
        <f>0</f>
        <v>0</v>
      </c>
      <c r="H46" s="105">
        <f>0</f>
        <v>0</v>
      </c>
      <c r="I46" s="105">
        <f>0</f>
        <v>0</v>
      </c>
      <c r="J46" s="101" t="s">
        <v>715</v>
      </c>
      <c r="K46" s="33"/>
    </row>
    <row r="47" spans="1:11">
      <c r="A47" s="101" t="s">
        <v>716</v>
      </c>
      <c r="B47" s="105">
        <f>0</f>
        <v>0</v>
      </c>
      <c r="C47" s="105">
        <f>0</f>
        <v>0</v>
      </c>
      <c r="D47" s="105">
        <f>0</f>
        <v>0</v>
      </c>
      <c r="E47" s="105">
        <f>0</f>
        <v>0</v>
      </c>
      <c r="F47" s="105">
        <f>0</f>
        <v>0</v>
      </c>
      <c r="G47" s="105">
        <f>0</f>
        <v>0</v>
      </c>
      <c r="H47" s="105">
        <f>0</f>
        <v>0</v>
      </c>
      <c r="I47" s="105">
        <f>0</f>
        <v>0</v>
      </c>
      <c r="J47" s="101"/>
      <c r="K47" s="33"/>
    </row>
    <row r="48" spans="1:11">
      <c r="A48" s="101" t="s">
        <v>717</v>
      </c>
      <c r="B48" s="105">
        <f>SUM(B41:B47)*(1/Parametros!$B$66+Parametros!$B$72)</f>
        <v>31.481561712070121</v>
      </c>
      <c r="C48" s="105">
        <f>SUM(C41:C47)*(1/Parametros!$B$66+Parametros!$B$72)</f>
        <v>23.426256031053832</v>
      </c>
      <c r="D48" s="105">
        <f>SUM(D41:D47)*(1/Parametros!$B$66+Parametros!$B$72)</f>
        <v>26.527157133003456</v>
      </c>
      <c r="E48" s="105">
        <f>SUM(E41:E47)*(1/Parametros!$B$66+Parametros!$B$72)</f>
        <v>21.704037654275552</v>
      </c>
      <c r="F48" s="105">
        <f>SUM(F41:F47)*(1/Parametros!$B$66+Parametros!$B$72)</f>
        <v>18.086698045229632</v>
      </c>
      <c r="G48" s="105">
        <f>SUM(G41:G47)*(1/Parametros!$B$66+Parametros!$B$72)</f>
        <v>24.098067490712427</v>
      </c>
      <c r="H48" s="105">
        <f>SUM(H41:H47)*(1/Parametros!$B$66+Parametros!$B$72)</f>
        <v>24.098067490712427</v>
      </c>
      <c r="I48" s="105">
        <f>SUM(I41:I47)*(1/Parametros!$B$66+Parametros!$B$72)</f>
        <v>13.144400449479507</v>
      </c>
      <c r="J48" s="101"/>
      <c r="K48" s="33"/>
    </row>
    <row r="49" spans="1:11">
      <c r="A49" s="101" t="s">
        <v>718</v>
      </c>
      <c r="B49" s="105">
        <f>B12+B18+B16+B30+(B12+B18+B16)*Parametros!$B$72</f>
        <v>3287.1084294325919</v>
      </c>
      <c r="C49" s="105">
        <f>C12+C18+C16+C30+(C12+C18+C16)*Parametros!$B$72</f>
        <v>2446.0236240503705</v>
      </c>
      <c r="D49" s="105">
        <f>D12+D18+D16+D30+(D12+D18+D16)*Parametros!$B$72</f>
        <v>2769.8003872325921</v>
      </c>
      <c r="E49" s="105">
        <f>E12+E18+E16+E30+(E12+E18+E16)*Parametros!$B$72</f>
        <v>2266.2003168266669</v>
      </c>
      <c r="F49" s="105">
        <f>F12+F18+F16+F30+(F12+F18+F16)*Parametros!$B$72</f>
        <v>1888.5002640222222</v>
      </c>
      <c r="G49" s="105">
        <f>G12+G18+G16+G30+(G12+G18+G16)*Parametros!$B$72</f>
        <v>2516.1699888409876</v>
      </c>
      <c r="H49" s="105">
        <f>H12+H18+H16+H30+(H12+H18+H16)*Parametros!$B$72</f>
        <v>2516.1699888409876</v>
      </c>
      <c r="I49" s="105">
        <f>I12+I18+I16+I30+(I12+I18+I16)*Parametros!$B$72</f>
        <v>1372.4563575496297</v>
      </c>
      <c r="J49" s="101" t="s">
        <v>719</v>
      </c>
      <c r="K49" s="33"/>
    </row>
    <row r="50" spans="1:11">
      <c r="A50" s="101" t="s">
        <v>720</v>
      </c>
      <c r="B50" s="105">
        <f>B49*Parametros!$B$16*Parametros!$B$32</f>
        <v>105.18746974184295</v>
      </c>
      <c r="C50" s="105">
        <f>C49*Parametros!$B$16*Parametros!$B$32</f>
        <v>78.272755969611865</v>
      </c>
      <c r="D50" s="105">
        <f>D49*Parametros!$B$16*Parametros!$B$32</f>
        <v>88.633612391442966</v>
      </c>
      <c r="E50" s="105">
        <f>E49*Parametros!$B$16*Parametros!$B$32</f>
        <v>72.518410138453348</v>
      </c>
      <c r="F50" s="105">
        <f>F49*Parametros!$B$16*Parametros!$B$32</f>
        <v>60.432008448711116</v>
      </c>
      <c r="G50" s="105">
        <f>G49*Parametros!$B$16*Parametros!$B$32</f>
        <v>80.517439642911611</v>
      </c>
      <c r="H50" s="105">
        <f>H49*Parametros!$B$16*Parametros!$B$32</f>
        <v>80.517439642911611</v>
      </c>
      <c r="I50" s="105">
        <f>I49*Parametros!$B$16*Parametros!$B$32</f>
        <v>43.918603441588154</v>
      </c>
      <c r="J50" s="101" t="s">
        <v>721</v>
      </c>
      <c r="K50" s="33"/>
    </row>
    <row r="51" spans="1:11">
      <c r="A51" s="107" t="s">
        <v>722</v>
      </c>
      <c r="B51" s="108">
        <f t="shared" ref="B51:I51" si="13">SUM(B41:B48)+B50</f>
        <v>451.20506099280192</v>
      </c>
      <c r="C51" s="108">
        <f t="shared" si="13"/>
        <v>335.75352385622125</v>
      </c>
      <c r="D51" s="108">
        <f t="shared" si="13"/>
        <v>380.19675331333531</v>
      </c>
      <c r="E51" s="108">
        <f t="shared" si="13"/>
        <v>311.07007089272889</v>
      </c>
      <c r="F51" s="108">
        <f t="shared" si="13"/>
        <v>259.22505907727407</v>
      </c>
      <c r="G51" s="108">
        <f t="shared" si="13"/>
        <v>345.38216723177214</v>
      </c>
      <c r="H51" s="108">
        <f t="shared" si="13"/>
        <v>345.38216723177214</v>
      </c>
      <c r="I51" s="108">
        <f t="shared" si="13"/>
        <v>188.39027303551211</v>
      </c>
      <c r="J51" s="107"/>
      <c r="K51" s="33"/>
    </row>
    <row r="52" spans="1:11">
      <c r="A52" s="107" t="s">
        <v>723</v>
      </c>
      <c r="B52" s="108">
        <f t="shared" ref="B52:I52" si="14">B12+B26+B51+B40+B29</f>
        <v>5748.9866171973299</v>
      </c>
      <c r="C52" s="108">
        <f t="shared" si="14"/>
        <v>4533.8303457052762</v>
      </c>
      <c r="D52" s="108">
        <f t="shared" si="14"/>
        <v>4991.1237569734485</v>
      </c>
      <c r="E52" s="108">
        <f t="shared" si="14"/>
        <v>4106.4610782375357</v>
      </c>
      <c r="F52" s="108">
        <f t="shared" si="14"/>
        <v>3516.1828042596744</v>
      </c>
      <c r="G52" s="108">
        <f t="shared" si="14"/>
        <v>4586.0905737440207</v>
      </c>
      <c r="H52" s="108">
        <f t="shared" si="14"/>
        <v>4586.0905737440207</v>
      </c>
      <c r="I52" s="108">
        <f t="shared" si="14"/>
        <v>2598.141406941183</v>
      </c>
      <c r="J52" s="107"/>
      <c r="K52" s="33"/>
    </row>
    <row r="53" spans="1:11">
      <c r="A53" s="101" t="s">
        <v>573</v>
      </c>
      <c r="B53" s="105">
        <f>B52*Parametros!$B$38</f>
        <v>172.4695985159199</v>
      </c>
      <c r="C53" s="105">
        <f>C52*Parametros!$B$38</f>
        <v>136.01491037115829</v>
      </c>
      <c r="D53" s="105">
        <f>D52*Parametros!$B$38</f>
        <v>149.73371270920345</v>
      </c>
      <c r="E53" s="105">
        <f>E52*Parametros!$B$38</f>
        <v>123.19383234712606</v>
      </c>
      <c r="F53" s="105">
        <f>F52*Parametros!$B$38</f>
        <v>105.48548412779023</v>
      </c>
      <c r="G53" s="105">
        <f>G52*Parametros!$B$38</f>
        <v>137.58271721232063</v>
      </c>
      <c r="H53" s="105">
        <f>H52*Parametros!$B$38</f>
        <v>137.58271721232063</v>
      </c>
      <c r="I53" s="105">
        <f>I52*Parametros!$B$38</f>
        <v>77.944242208235494</v>
      </c>
      <c r="J53" s="101"/>
      <c r="K53" s="33"/>
    </row>
    <row r="54" spans="1:11">
      <c r="A54" s="101" t="s">
        <v>576</v>
      </c>
      <c r="B54" s="105">
        <f>(B52+B53)*Parametros!$B$39</f>
        <v>296.07281078566251</v>
      </c>
      <c r="C54" s="105">
        <f>(C52+C53)*Parametros!$B$39</f>
        <v>233.49226280382175</v>
      </c>
      <c r="D54" s="105">
        <f>(D52+D53)*Parametros!$B$39</f>
        <v>257.0428734841326</v>
      </c>
      <c r="E54" s="105">
        <f>(E52+E53)*Parametros!$B$39</f>
        <v>211.48274552923309</v>
      </c>
      <c r="F54" s="105">
        <f>(F52+F53)*Parametros!$B$39</f>
        <v>181.08341441937324</v>
      </c>
      <c r="G54" s="105">
        <f>(G52+G53)*Parametros!$B$39</f>
        <v>236.1836645478171</v>
      </c>
      <c r="H54" s="105">
        <f>(H52+H53)*Parametros!$B$39</f>
        <v>236.1836645478171</v>
      </c>
      <c r="I54" s="105">
        <f>(I52+I53)*Parametros!$B$39</f>
        <v>133.80428245747095</v>
      </c>
      <c r="J54" s="101"/>
      <c r="K54" s="33"/>
    </row>
    <row r="55" spans="1:11">
      <c r="A55" s="101" t="s">
        <v>724</v>
      </c>
      <c r="B55" s="105">
        <f t="shared" ref="B55:I55" si="15">SUM(B52:B54)</f>
        <v>6217.5290264989117</v>
      </c>
      <c r="C55" s="105">
        <f t="shared" si="15"/>
        <v>4903.3375188802565</v>
      </c>
      <c r="D55" s="105">
        <f t="shared" si="15"/>
        <v>5397.9003431667843</v>
      </c>
      <c r="E55" s="105">
        <f t="shared" si="15"/>
        <v>4441.137656113895</v>
      </c>
      <c r="F55" s="105">
        <f t="shared" si="15"/>
        <v>3802.7517028068378</v>
      </c>
      <c r="G55" s="105">
        <f t="shared" si="15"/>
        <v>4959.8569555041586</v>
      </c>
      <c r="H55" s="105">
        <f t="shared" si="15"/>
        <v>4959.8569555041586</v>
      </c>
      <c r="I55" s="105">
        <f t="shared" si="15"/>
        <v>2809.8899316068896</v>
      </c>
      <c r="J55" s="101"/>
      <c r="K55" s="33"/>
    </row>
    <row r="56" spans="1:11">
      <c r="A56" s="101" t="s">
        <v>725</v>
      </c>
      <c r="B56" s="105">
        <f>B55/(1-Parametros!$B$40-Parametros!$B$41-Parametros!$B$42)</f>
        <v>6806.2715123140797</v>
      </c>
      <c r="C56" s="105">
        <f>C55/(1-Parametros!$B$40-Parametros!$B$41-Parametros!$B$42)</f>
        <v>5367.6382253752126</v>
      </c>
      <c r="D56" s="105">
        <f>D55/(1-Parametros!$B$40-Parametros!$B$41-Parametros!$B$42)</f>
        <v>5909.0315743478759</v>
      </c>
      <c r="E56" s="105">
        <f>E55/(1-Parametros!$B$40-Parametros!$B$41-Parametros!$B$42)</f>
        <v>4861.6723110168532</v>
      </c>
      <c r="F56" s="105">
        <f>F55/(1-Parametros!$B$40-Parametros!$B$41-Parametros!$B$42)</f>
        <v>4162.83711308904</v>
      </c>
      <c r="G56" s="105">
        <f>G55/(1-Parametros!$B$40-Parametros!$B$41-Parametros!$B$42)</f>
        <v>5429.5095298348751</v>
      </c>
      <c r="H56" s="105">
        <f>H55/(1-Parametros!$B$40-Parametros!$B$41-Parametros!$B$42)</f>
        <v>5429.5095298348751</v>
      </c>
      <c r="I56" s="105">
        <f>I55/(1-Parametros!$B$40-Parametros!$B$41-Parametros!$B$42)</f>
        <v>3075.9605162636999</v>
      </c>
      <c r="J56" s="101"/>
      <c r="K56" s="33"/>
    </row>
    <row r="57" spans="1:11">
      <c r="A57" s="101" t="s">
        <v>726</v>
      </c>
      <c r="B57" s="105">
        <f t="shared" ref="B57:I57" si="16">B56-B55</f>
        <v>588.74248581516804</v>
      </c>
      <c r="C57" s="105">
        <f t="shared" si="16"/>
        <v>464.3007064949561</v>
      </c>
      <c r="D57" s="105">
        <f t="shared" si="16"/>
        <v>511.13123118109161</v>
      </c>
      <c r="E57" s="105">
        <f t="shared" si="16"/>
        <v>420.53465490295821</v>
      </c>
      <c r="F57" s="105">
        <f t="shared" si="16"/>
        <v>360.08541028220225</v>
      </c>
      <c r="G57" s="105">
        <f t="shared" si="16"/>
        <v>469.65257433071656</v>
      </c>
      <c r="H57" s="105">
        <f t="shared" si="16"/>
        <v>469.65257433071656</v>
      </c>
      <c r="I57" s="105">
        <f t="shared" si="16"/>
        <v>266.0705846568103</v>
      </c>
      <c r="J57" s="101"/>
      <c r="K57" s="33"/>
    </row>
    <row r="58" spans="1:11" ht="25.5">
      <c r="A58" s="109" t="s">
        <v>727</v>
      </c>
      <c r="B58" s="110">
        <f t="shared" ref="B58:I58" si="17">ROUND(B56,2)</f>
        <v>6806.27</v>
      </c>
      <c r="C58" s="110">
        <f t="shared" si="17"/>
        <v>5367.64</v>
      </c>
      <c r="D58" s="110">
        <f t="shared" si="17"/>
        <v>5909.03</v>
      </c>
      <c r="E58" s="110">
        <f t="shared" si="17"/>
        <v>4861.67</v>
      </c>
      <c r="F58" s="110">
        <f t="shared" si="17"/>
        <v>4162.84</v>
      </c>
      <c r="G58" s="110">
        <f t="shared" si="17"/>
        <v>5429.51</v>
      </c>
      <c r="H58" s="110">
        <f t="shared" si="17"/>
        <v>5429.51</v>
      </c>
      <c r="I58" s="110">
        <f t="shared" si="17"/>
        <v>3075.96</v>
      </c>
      <c r="J58" s="109" t="s">
        <v>728</v>
      </c>
      <c r="K58" s="33"/>
    </row>
    <row r="59" spans="1:11">
      <c r="A59" s="107" t="s">
        <v>729</v>
      </c>
      <c r="B59" s="108">
        <f t="shared" ref="B59:I59" si="18">B58*B5</f>
        <v>136125.40000000002</v>
      </c>
      <c r="C59" s="108">
        <f t="shared" si="18"/>
        <v>26838.2</v>
      </c>
      <c r="D59" s="108">
        <f t="shared" si="18"/>
        <v>29545.149999999998</v>
      </c>
      <c r="E59" s="108">
        <f t="shared" si="18"/>
        <v>121541.75</v>
      </c>
      <c r="F59" s="108">
        <f t="shared" si="18"/>
        <v>249770.40000000002</v>
      </c>
      <c r="G59" s="108">
        <f t="shared" si="18"/>
        <v>27147.550000000003</v>
      </c>
      <c r="H59" s="108">
        <f t="shared" si="18"/>
        <v>27147.550000000003</v>
      </c>
      <c r="I59" s="108">
        <f t="shared" si="18"/>
        <v>61519.199999999997</v>
      </c>
      <c r="J59" s="107"/>
      <c r="K59" s="33"/>
    </row>
    <row r="60" spans="1:11">
      <c r="A60" s="107" t="s">
        <v>730</v>
      </c>
      <c r="B60" s="108">
        <f>B59*Parametros!$B$5</f>
        <v>1633504.8000000003</v>
      </c>
      <c r="C60" s="108">
        <f>C59*Parametros!$B$5</f>
        <v>322058.40000000002</v>
      </c>
      <c r="D60" s="108">
        <f>D59*Parametros!$B$5</f>
        <v>354541.8</v>
      </c>
      <c r="E60" s="108">
        <f>E59*Parametros!$B$5</f>
        <v>1458501</v>
      </c>
      <c r="F60" s="108">
        <f>F59*Parametros!$B$5</f>
        <v>2997244.8000000003</v>
      </c>
      <c r="G60" s="108">
        <f>G59*Parametros!$B$5</f>
        <v>325770.60000000003</v>
      </c>
      <c r="H60" s="108">
        <f>H59*Parametros!$B$5</f>
        <v>325770.60000000003</v>
      </c>
      <c r="I60" s="108">
        <f>I59*Parametros!$B$5</f>
        <v>738230.39999999991</v>
      </c>
      <c r="J60" s="107"/>
      <c r="K60" s="33"/>
    </row>
    <row r="61" spans="1:11">
      <c r="K61" s="33"/>
    </row>
    <row r="62" spans="1:11" ht="29.1" customHeight="1">
      <c r="K62" s="33"/>
    </row>
    <row r="63" spans="1:11" ht="29.1" customHeight="1">
      <c r="K63" s="33"/>
    </row>
    <row r="64" spans="1:11" ht="29.1" customHeight="1">
      <c r="K64" s="33"/>
    </row>
    <row r="65" spans="1:11" ht="29.1" customHeight="1">
      <c r="K65" s="33"/>
    </row>
    <row r="66" spans="1:11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</row>
    <row r="67" spans="1:11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</row>
    <row r="68" spans="1:11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</row>
    <row r="69" spans="1:11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</row>
    <row r="70" spans="1:11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</row>
    <row r="71" spans="1:1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</row>
    <row r="72" spans="1:1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</row>
    <row r="73" spans="1:1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</row>
    <row r="74" spans="1:1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</row>
    <row r="75" spans="1:1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</row>
    <row r="76" spans="1:1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</row>
    <row r="77" spans="1:1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</row>
    <row r="78" spans="1:1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</row>
    <row r="79" spans="1:1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</row>
    <row r="80" spans="1:1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</row>
    <row r="81" spans="1:1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</row>
    <row r="82" spans="1:1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</row>
    <row r="83" spans="1:11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</row>
    <row r="84" spans="1:11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</row>
    <row r="85" spans="1:11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</row>
    <row r="86" spans="1:11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</row>
    <row r="87" spans="1:11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</row>
    <row r="88" spans="1:11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</row>
    <row r="89" spans="1:11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</row>
    <row r="90" spans="1:11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</row>
    <row r="91" spans="1:11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</row>
    <row r="92" spans="1:11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</row>
    <row r="93" spans="1:11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</row>
    <row r="94" spans="1:11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</row>
    <row r="95" spans="1:11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</row>
    <row r="96" spans="1:11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</row>
    <row r="97" spans="1:11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</row>
    <row r="98" spans="1:11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</row>
    <row r="99" spans="1:1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</row>
    <row r="100" spans="1:11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</row>
    <row r="101" spans="1:11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</row>
    <row r="102" spans="1:11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</row>
    <row r="103" spans="1:11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</row>
    <row r="104" spans="1:11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</row>
    <row r="105" spans="1:11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</row>
    <row r="106" spans="1:11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</row>
    <row r="107" spans="1:11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</row>
    <row r="108" spans="1:11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</row>
    <row r="109" spans="1:11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</row>
    <row r="110" spans="1:11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</row>
  </sheetData>
  <mergeCells count="2">
    <mergeCell ref="A1:J1"/>
    <mergeCell ref="A2:J2"/>
  </mergeCells>
  <dataValidations count="2">
    <dataValidation type="whole" sqref="B5:I5" xr:uid="{00000000-0002-0000-0A00-000000000000}">
      <formula1>0</formula1>
      <formula2>145</formula2>
    </dataValidation>
    <dataValidation type="list" sqref="B6:I6" xr:uid="{00000000-0002-0000-0A00-000001000000}">
      <formula1>"20,30,40"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258"/>
  <sheetViews>
    <sheetView workbookViewId="0">
      <pane xSplit="2" ySplit="4" topLeftCell="F11" activePane="bottomRight" state="frozen"/>
      <selection pane="topRight"/>
      <selection pane="bottomLeft"/>
      <selection pane="bottomRight" activeCell="A16" sqref="A16:N16"/>
    </sheetView>
  </sheetViews>
  <sheetFormatPr defaultRowHeight="14.25"/>
  <cols>
    <col min="1" max="1" width="9" customWidth="1"/>
    <col min="2" max="3" width="37" customWidth="1"/>
    <col min="4" max="14" width="32" customWidth="1"/>
  </cols>
  <sheetData>
    <row r="1" spans="1:14">
      <c r="A1" s="71" t="s">
        <v>731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>
      <c r="A2" s="72" t="s">
        <v>732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4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>
      <c r="A4" s="111" t="s">
        <v>733</v>
      </c>
      <c r="B4" s="111" t="s">
        <v>476</v>
      </c>
      <c r="C4" s="111" t="s">
        <v>734</v>
      </c>
      <c r="D4" s="111" t="s">
        <v>735</v>
      </c>
      <c r="E4" s="111" t="s">
        <v>736</v>
      </c>
      <c r="F4" s="111" t="s">
        <v>737</v>
      </c>
      <c r="G4" s="111" t="s">
        <v>738</v>
      </c>
      <c r="H4" s="111" t="s">
        <v>739</v>
      </c>
      <c r="I4" s="111" t="s">
        <v>740</v>
      </c>
      <c r="J4" s="111" t="s">
        <v>741</v>
      </c>
      <c r="K4" s="111" t="s">
        <v>742</v>
      </c>
      <c r="L4" s="111" t="s">
        <v>743</v>
      </c>
      <c r="M4" s="111" t="s">
        <v>744</v>
      </c>
      <c r="N4" s="111" t="s">
        <v>745</v>
      </c>
    </row>
    <row r="5" spans="1:14" ht="38.25">
      <c r="A5" s="112" t="s">
        <v>746</v>
      </c>
      <c r="B5" s="112" t="s">
        <v>747</v>
      </c>
      <c r="C5" s="112" t="s">
        <v>748</v>
      </c>
      <c r="D5" s="112" t="s">
        <v>749</v>
      </c>
      <c r="E5" s="112" t="s">
        <v>750</v>
      </c>
      <c r="F5" s="112" t="s">
        <v>751</v>
      </c>
      <c r="G5" s="112" t="s">
        <v>752</v>
      </c>
      <c r="H5" s="112" t="s">
        <v>753</v>
      </c>
      <c r="I5" s="112" t="s">
        <v>754</v>
      </c>
      <c r="J5" s="112" t="s">
        <v>755</v>
      </c>
      <c r="K5" s="112" t="s">
        <v>756</v>
      </c>
      <c r="L5" s="112" t="s">
        <v>757</v>
      </c>
      <c r="M5" s="112" t="s">
        <v>758</v>
      </c>
      <c r="N5" s="112" t="s">
        <v>759</v>
      </c>
    </row>
    <row r="6" spans="1:14" ht="38.25">
      <c r="A6" s="112" t="s">
        <v>760</v>
      </c>
      <c r="B6" s="112" t="s">
        <v>761</v>
      </c>
      <c r="C6" s="112" t="s">
        <v>762</v>
      </c>
      <c r="D6" s="112" t="s">
        <v>749</v>
      </c>
      <c r="E6" s="112" t="s">
        <v>750</v>
      </c>
      <c r="F6" s="112" t="s">
        <v>751</v>
      </c>
      <c r="G6" s="112" t="s">
        <v>752</v>
      </c>
      <c r="H6" s="112" t="s">
        <v>753</v>
      </c>
      <c r="I6" s="112" t="s">
        <v>754</v>
      </c>
      <c r="J6" s="112" t="s">
        <v>755</v>
      </c>
      <c r="K6" s="112" t="s">
        <v>756</v>
      </c>
      <c r="L6" s="112" t="s">
        <v>757</v>
      </c>
      <c r="M6" s="112" t="s">
        <v>758</v>
      </c>
      <c r="N6" s="112" t="s">
        <v>759</v>
      </c>
    </row>
    <row r="7" spans="1:14" ht="38.25">
      <c r="A7" s="112" t="s">
        <v>763</v>
      </c>
      <c r="B7" s="112" t="s">
        <v>764</v>
      </c>
      <c r="C7" s="112" t="s">
        <v>765</v>
      </c>
      <c r="D7" s="112" t="s">
        <v>749</v>
      </c>
      <c r="E7" s="112" t="s">
        <v>750</v>
      </c>
      <c r="F7" s="112" t="s">
        <v>751</v>
      </c>
      <c r="G7" s="112" t="s">
        <v>752</v>
      </c>
      <c r="H7" s="112" t="s">
        <v>753</v>
      </c>
      <c r="I7" s="112" t="s">
        <v>754</v>
      </c>
      <c r="J7" s="112" t="s">
        <v>755</v>
      </c>
      <c r="K7" s="112" t="s">
        <v>756</v>
      </c>
      <c r="L7" s="112" t="s">
        <v>757</v>
      </c>
      <c r="M7" s="112" t="s">
        <v>758</v>
      </c>
      <c r="N7" s="112" t="s">
        <v>759</v>
      </c>
    </row>
    <row r="8" spans="1:14" ht="38.25">
      <c r="A8" s="112" t="s">
        <v>766</v>
      </c>
      <c r="B8" s="112" t="s">
        <v>767</v>
      </c>
      <c r="C8" s="112" t="s">
        <v>768</v>
      </c>
      <c r="D8" s="112" t="s">
        <v>749</v>
      </c>
      <c r="E8" s="112" t="s">
        <v>750</v>
      </c>
      <c r="F8" s="112" t="s">
        <v>751</v>
      </c>
      <c r="G8" s="112" t="s">
        <v>752</v>
      </c>
      <c r="H8" s="112" t="s">
        <v>753</v>
      </c>
      <c r="I8" s="112" t="s">
        <v>754</v>
      </c>
      <c r="J8" s="112" t="s">
        <v>755</v>
      </c>
      <c r="K8" s="112" t="s">
        <v>756</v>
      </c>
      <c r="L8" s="112" t="s">
        <v>757</v>
      </c>
      <c r="M8" s="112" t="s">
        <v>758</v>
      </c>
      <c r="N8" s="112" t="s">
        <v>759</v>
      </c>
    </row>
    <row r="9" spans="1:14" ht="38.25">
      <c r="A9" s="112" t="s">
        <v>769</v>
      </c>
      <c r="B9" s="112" t="s">
        <v>770</v>
      </c>
      <c r="C9" s="112" t="s">
        <v>771</v>
      </c>
      <c r="D9" s="112" t="s">
        <v>749</v>
      </c>
      <c r="E9" s="112" t="s">
        <v>750</v>
      </c>
      <c r="F9" s="112" t="s">
        <v>751</v>
      </c>
      <c r="G9" s="112" t="s">
        <v>752</v>
      </c>
      <c r="H9" s="112" t="s">
        <v>753</v>
      </c>
      <c r="I9" s="112" t="s">
        <v>754</v>
      </c>
      <c r="J9" s="112" t="s">
        <v>755</v>
      </c>
      <c r="K9" s="112" t="s">
        <v>756</v>
      </c>
      <c r="L9" s="112" t="s">
        <v>757</v>
      </c>
      <c r="M9" s="112" t="s">
        <v>758</v>
      </c>
      <c r="N9" s="112" t="s">
        <v>772</v>
      </c>
    </row>
    <row r="10" spans="1:14" ht="38.25">
      <c r="A10" s="112" t="s">
        <v>773</v>
      </c>
      <c r="B10" s="112" t="s">
        <v>774</v>
      </c>
      <c r="C10" s="112" t="s">
        <v>775</v>
      </c>
      <c r="D10" s="112" t="s">
        <v>749</v>
      </c>
      <c r="E10" s="112" t="s">
        <v>750</v>
      </c>
      <c r="F10" s="112" t="s">
        <v>751</v>
      </c>
      <c r="G10" s="112" t="s">
        <v>752</v>
      </c>
      <c r="H10" s="112" t="s">
        <v>753</v>
      </c>
      <c r="I10" s="112" t="s">
        <v>754</v>
      </c>
      <c r="J10" s="112" t="s">
        <v>755</v>
      </c>
      <c r="K10" s="112" t="s">
        <v>756</v>
      </c>
      <c r="L10" s="112" t="s">
        <v>757</v>
      </c>
      <c r="M10" s="112" t="s">
        <v>758</v>
      </c>
      <c r="N10" s="112" t="s">
        <v>772</v>
      </c>
    </row>
    <row r="11" spans="1:14" ht="38.25">
      <c r="A11" s="112" t="s">
        <v>776</v>
      </c>
      <c r="B11" s="112" t="s">
        <v>777</v>
      </c>
      <c r="C11" s="112" t="s">
        <v>778</v>
      </c>
      <c r="D11" s="112" t="s">
        <v>749</v>
      </c>
      <c r="E11" s="112" t="s">
        <v>750</v>
      </c>
      <c r="F11" s="112" t="s">
        <v>751</v>
      </c>
      <c r="G11" s="112" t="s">
        <v>752</v>
      </c>
      <c r="H11" s="112" t="s">
        <v>753</v>
      </c>
      <c r="I11" s="112" t="s">
        <v>754</v>
      </c>
      <c r="J11" s="112" t="s">
        <v>755</v>
      </c>
      <c r="K11" s="112" t="s">
        <v>756</v>
      </c>
      <c r="L11" s="112" t="s">
        <v>757</v>
      </c>
      <c r="M11" s="112" t="s">
        <v>758</v>
      </c>
      <c r="N11" s="112" t="s">
        <v>772</v>
      </c>
    </row>
    <row r="12" spans="1:14" ht="38.25">
      <c r="A12" s="112" t="s">
        <v>779</v>
      </c>
      <c r="B12" s="112" t="s">
        <v>780</v>
      </c>
      <c r="C12" s="112" t="s">
        <v>781</v>
      </c>
      <c r="D12" s="112" t="s">
        <v>749</v>
      </c>
      <c r="E12" s="112" t="s">
        <v>750</v>
      </c>
      <c r="F12" s="112" t="s">
        <v>751</v>
      </c>
      <c r="G12" s="112" t="s">
        <v>752</v>
      </c>
      <c r="H12" s="112" t="s">
        <v>753</v>
      </c>
      <c r="I12" s="112" t="s">
        <v>754</v>
      </c>
      <c r="J12" s="112" t="s">
        <v>755</v>
      </c>
      <c r="K12" s="112" t="s">
        <v>756</v>
      </c>
      <c r="L12" s="112" t="s">
        <v>757</v>
      </c>
      <c r="M12" s="112" t="s">
        <v>758</v>
      </c>
      <c r="N12" s="112" t="s">
        <v>772</v>
      </c>
    </row>
    <row r="13" spans="1:14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</row>
    <row r="14" spans="1:14" ht="42" customHeight="1">
      <c r="A14" s="113" t="s">
        <v>782</v>
      </c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</row>
    <row r="15" spans="1:14" ht="32.1" customHeight="1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</row>
    <row r="16" spans="1:14" ht="50.1" customHeight="1">
      <c r="A16" s="113" t="s">
        <v>783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</row>
    <row r="17" spans="1:14">
      <c r="A17" s="114"/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</row>
    <row r="18" spans="1:14">
      <c r="A18" s="114"/>
      <c r="B18" s="114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</row>
    <row r="19" spans="1:14">
      <c r="A19" s="114"/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</row>
    <row r="20" spans="1:14">
      <c r="A20" s="114"/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</row>
    <row r="21" spans="1:14">
      <c r="A21" s="114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</row>
    <row r="22" spans="1:14">
      <c r="A22" s="114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</row>
    <row r="23" spans="1:14">
      <c r="A23" s="114"/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</row>
    <row r="24" spans="1:14">
      <c r="A24" s="114"/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</row>
    <row r="25" spans="1:14">
      <c r="A25" s="114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</row>
    <row r="26" spans="1:14">
      <c r="A26" s="114"/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</row>
    <row r="27" spans="1:14">
      <c r="A27" s="114"/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</row>
    <row r="28" spans="1:14">
      <c r="A28" s="114"/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</row>
    <row r="29" spans="1:14">
      <c r="A29" s="114"/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</row>
    <row r="30" spans="1:14">
      <c r="A30" s="114"/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</row>
    <row r="31" spans="1:14">
      <c r="A31" s="114"/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</row>
    <row r="32" spans="1:14">
      <c r="A32" s="114"/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</row>
    <row r="33" spans="1:14">
      <c r="A33" s="114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</row>
    <row r="34" spans="1:14">
      <c r="A34" s="114"/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</row>
    <row r="35" spans="1:14">
      <c r="A35" s="114"/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</row>
    <row r="36" spans="1:14">
      <c r="A36" s="114"/>
      <c r="B36" s="114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</row>
    <row r="37" spans="1:14">
      <c r="A37" s="114"/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</row>
    <row r="38" spans="1:14">
      <c r="A38" s="114"/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</row>
    <row r="39" spans="1:14">
      <c r="A39" s="114"/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</row>
    <row r="40" spans="1:14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</row>
    <row r="41" spans="1:14">
      <c r="A41" s="114"/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</row>
    <row r="42" spans="1:14">
      <c r="A42" s="114"/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</row>
    <row r="43" spans="1:14">
      <c r="A43" s="114"/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</row>
    <row r="44" spans="1:14">
      <c r="A44" s="114"/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</row>
    <row r="45" spans="1:14">
      <c r="A45" s="114"/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</row>
    <row r="46" spans="1:14">
      <c r="A46" s="11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</row>
    <row r="47" spans="1:14">
      <c r="A47" s="11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</row>
    <row r="48" spans="1:14">
      <c r="A48" s="11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</row>
    <row r="49" spans="1:14">
      <c r="A49" s="11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</row>
    <row r="50" spans="1:14">
      <c r="A50" s="114"/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</row>
    <row r="51" spans="1:14">
      <c r="A51" s="114"/>
      <c r="B51" s="11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</row>
    <row r="52" spans="1:14">
      <c r="A52" s="114"/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</row>
    <row r="53" spans="1:14">
      <c r="A53" s="114"/>
      <c r="B53" s="11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</row>
    <row r="54" spans="1:14">
      <c r="A54" s="114"/>
      <c r="B54" s="11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</row>
    <row r="55" spans="1:14">
      <c r="A55" s="114"/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</row>
    <row r="56" spans="1:14">
      <c r="A56" s="114"/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</row>
    <row r="57" spans="1:14">
      <c r="A57" s="114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</row>
    <row r="58" spans="1:14">
      <c r="A58" s="114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</row>
    <row r="59" spans="1:14">
      <c r="A59" s="114"/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</row>
    <row r="60" spans="1:14">
      <c r="A60" s="114"/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</row>
    <row r="61" spans="1:14">
      <c r="A61" s="114"/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</row>
    <row r="62" spans="1:14">
      <c r="A62" s="114"/>
      <c r="B62" s="11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</row>
    <row r="63" spans="1:14">
      <c r="A63" s="114"/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</row>
    <row r="64" spans="1:14">
      <c r="A64" s="114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4"/>
      <c r="M64" s="114"/>
      <c r="N64" s="114"/>
    </row>
    <row r="65" spans="1:14">
      <c r="A65" s="114"/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</row>
    <row r="66" spans="1:14">
      <c r="A66" s="114"/>
      <c r="B66" s="114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</row>
    <row r="67" spans="1:14">
      <c r="A67" s="114"/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</row>
    <row r="68" spans="1:14">
      <c r="A68" s="114"/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</row>
    <row r="69" spans="1:14">
      <c r="A69" s="114"/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</row>
    <row r="70" spans="1:14">
      <c r="A70" s="114"/>
      <c r="B70" s="114"/>
      <c r="C70" s="114"/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</row>
    <row r="71" spans="1:14">
      <c r="A71" s="114"/>
      <c r="B71" s="114"/>
      <c r="C71" s="114"/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</row>
    <row r="72" spans="1:14">
      <c r="A72" s="114"/>
      <c r="B72" s="114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</row>
    <row r="73" spans="1:14">
      <c r="A73" s="114"/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</row>
    <row r="74" spans="1:14">
      <c r="A74" s="114"/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</row>
    <row r="75" spans="1:14">
      <c r="A75" s="114"/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</row>
    <row r="76" spans="1:14">
      <c r="A76" s="114"/>
      <c r="B76" s="114"/>
      <c r="C76" s="114"/>
      <c r="D76" s="114"/>
      <c r="E76" s="114"/>
      <c r="F76" s="114"/>
      <c r="G76" s="114"/>
      <c r="H76" s="114"/>
      <c r="I76" s="114"/>
      <c r="J76" s="114"/>
      <c r="K76" s="114"/>
      <c r="L76" s="114"/>
      <c r="M76" s="114"/>
      <c r="N76" s="114"/>
    </row>
    <row r="77" spans="1:14">
      <c r="A77" s="114"/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</row>
    <row r="78" spans="1:14">
      <c r="A78" s="114"/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</row>
    <row r="79" spans="1:14">
      <c r="A79" s="114"/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</row>
    <row r="80" spans="1:14">
      <c r="A80" s="114"/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</row>
    <row r="81" spans="1:14">
      <c r="A81" s="114"/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</row>
    <row r="82" spans="1:14">
      <c r="A82" s="114"/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</row>
    <row r="83" spans="1:14">
      <c r="A83" s="114"/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</row>
    <row r="84" spans="1:14">
      <c r="A84" s="114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</row>
    <row r="85" spans="1:14">
      <c r="A85" s="114"/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</row>
    <row r="86" spans="1:14">
      <c r="A86" s="114"/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</row>
    <row r="87" spans="1:14">
      <c r="A87" s="114"/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</row>
    <row r="88" spans="1:14">
      <c r="A88" s="114"/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</row>
    <row r="89" spans="1:14">
      <c r="A89" s="114"/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</row>
    <row r="90" spans="1:14">
      <c r="A90" s="114"/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</row>
    <row r="91" spans="1:14">
      <c r="A91" s="114"/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</row>
    <row r="92" spans="1:14">
      <c r="A92" s="114"/>
      <c r="B92" s="114"/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</row>
    <row r="93" spans="1:14">
      <c r="A93" s="114"/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</row>
    <row r="94" spans="1:14">
      <c r="A94" s="114"/>
      <c r="B94" s="114"/>
      <c r="C94" s="114"/>
      <c r="D94" s="114"/>
      <c r="E94" s="114"/>
      <c r="F94" s="114"/>
      <c r="G94" s="114"/>
      <c r="H94" s="114"/>
      <c r="I94" s="114"/>
      <c r="J94" s="114"/>
      <c r="K94" s="114"/>
      <c r="L94" s="114"/>
      <c r="M94" s="114"/>
      <c r="N94" s="114"/>
    </row>
    <row r="95" spans="1:14">
      <c r="A95" s="114"/>
      <c r="B95" s="114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</row>
    <row r="96" spans="1:14">
      <c r="A96" s="114"/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</row>
    <row r="97" spans="1:14">
      <c r="A97" s="114"/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</row>
    <row r="98" spans="1:14">
      <c r="A98" s="114"/>
      <c r="B98" s="114"/>
      <c r="C98" s="114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</row>
    <row r="99" spans="1:14">
      <c r="A99" s="114"/>
      <c r="B99" s="114"/>
      <c r="C99" s="114"/>
      <c r="D99" s="114"/>
      <c r="E99" s="114"/>
      <c r="F99" s="114"/>
      <c r="G99" s="114"/>
      <c r="H99" s="114"/>
      <c r="I99" s="114"/>
      <c r="J99" s="114"/>
      <c r="K99" s="114"/>
      <c r="L99" s="114"/>
      <c r="M99" s="114"/>
      <c r="N99" s="114"/>
    </row>
    <row r="100" spans="1:14">
      <c r="A100" s="114"/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</row>
    <row r="101" spans="1:14">
      <c r="A101" s="114"/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</row>
    <row r="102" spans="1:14">
      <c r="A102" s="114"/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</row>
    <row r="103" spans="1:14">
      <c r="A103" s="114"/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</row>
    <row r="104" spans="1:14">
      <c r="A104" s="114"/>
      <c r="B104" s="114"/>
      <c r="C104" s="114"/>
      <c r="D104" s="114"/>
      <c r="E104" s="114"/>
      <c r="F104" s="114"/>
      <c r="G104" s="114"/>
      <c r="H104" s="114"/>
      <c r="I104" s="114"/>
      <c r="J104" s="114"/>
      <c r="K104" s="114"/>
      <c r="L104" s="114"/>
      <c r="M104" s="114"/>
      <c r="N104" s="114"/>
    </row>
    <row r="105" spans="1:14">
      <c r="A105" s="114"/>
      <c r="B105" s="114"/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M105" s="114"/>
      <c r="N105" s="114"/>
    </row>
    <row r="106" spans="1:14">
      <c r="A106" s="114"/>
      <c r="B106" s="114"/>
      <c r="C106" s="114"/>
      <c r="D106" s="114"/>
      <c r="E106" s="114"/>
      <c r="F106" s="114"/>
      <c r="G106" s="114"/>
      <c r="H106" s="114"/>
      <c r="I106" s="114"/>
      <c r="J106" s="114"/>
      <c r="K106" s="114"/>
      <c r="L106" s="114"/>
      <c r="M106" s="114"/>
      <c r="N106" s="114"/>
    </row>
    <row r="107" spans="1:14">
      <c r="A107" s="114"/>
      <c r="B107" s="114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</row>
    <row r="108" spans="1:14">
      <c r="A108" s="114"/>
      <c r="B108" s="114"/>
      <c r="C108" s="114"/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</row>
    <row r="109" spans="1:14">
      <c r="A109" s="114"/>
      <c r="B109" s="114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</row>
    <row r="110" spans="1:14">
      <c r="A110" s="114"/>
      <c r="B110" s="114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</row>
    <row r="111" spans="1:14">
      <c r="A111" s="114"/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</row>
    <row r="112" spans="1:14">
      <c r="A112" s="114"/>
      <c r="B112" s="114"/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</row>
    <row r="113" spans="1:14">
      <c r="A113" s="114"/>
      <c r="B113" s="114"/>
      <c r="C113" s="114"/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</row>
    <row r="114" spans="1:14">
      <c r="A114" s="114"/>
      <c r="B114" s="114"/>
      <c r="C114" s="114"/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</row>
    <row r="115" spans="1:14">
      <c r="A115" s="114"/>
      <c r="B115" s="114"/>
      <c r="C115" s="114"/>
      <c r="D115" s="114"/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</row>
    <row r="116" spans="1:14">
      <c r="A116" s="114"/>
      <c r="B116" s="114"/>
      <c r="C116" s="114"/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</row>
    <row r="117" spans="1:14">
      <c r="A117" s="114"/>
      <c r="B117" s="114"/>
      <c r="C117" s="114"/>
      <c r="D117" s="114"/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</row>
    <row r="118" spans="1:14">
      <c r="A118" s="114"/>
      <c r="B118" s="114"/>
      <c r="C118" s="114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</row>
    <row r="119" spans="1:14">
      <c r="A119" s="114"/>
      <c r="B119" s="114"/>
      <c r="C119" s="114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4"/>
    </row>
    <row r="120" spans="1:14">
      <c r="A120" s="114"/>
      <c r="B120" s="114"/>
      <c r="C120" s="114"/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</row>
    <row r="121" spans="1:14">
      <c r="A121" s="114"/>
      <c r="B121" s="114"/>
      <c r="C121" s="114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</row>
    <row r="122" spans="1:14">
      <c r="A122" s="114"/>
      <c r="B122" s="114"/>
      <c r="C122" s="114"/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</row>
    <row r="123" spans="1:14">
      <c r="A123" s="114"/>
      <c r="B123" s="114"/>
      <c r="C123" s="114"/>
      <c r="D123" s="114"/>
      <c r="E123" s="114"/>
      <c r="F123" s="114"/>
      <c r="G123" s="114"/>
      <c r="H123" s="114"/>
      <c r="I123" s="114"/>
      <c r="J123" s="114"/>
      <c r="K123" s="114"/>
      <c r="L123" s="114"/>
      <c r="M123" s="114"/>
      <c r="N123" s="114"/>
    </row>
    <row r="124" spans="1:14">
      <c r="A124" s="114"/>
      <c r="B124" s="114"/>
      <c r="C124" s="114"/>
      <c r="D124" s="114"/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</row>
    <row r="125" spans="1:14">
      <c r="A125" s="114"/>
      <c r="B125" s="114"/>
      <c r="C125" s="114"/>
      <c r="D125" s="114"/>
      <c r="E125" s="114"/>
      <c r="F125" s="114"/>
      <c r="G125" s="114"/>
      <c r="H125" s="114"/>
      <c r="I125" s="114"/>
      <c r="J125" s="114"/>
      <c r="K125" s="114"/>
      <c r="L125" s="114"/>
      <c r="M125" s="114"/>
      <c r="N125" s="114"/>
    </row>
    <row r="126" spans="1:14">
      <c r="A126" s="114"/>
      <c r="B126" s="114"/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</row>
    <row r="127" spans="1:14">
      <c r="A127" s="114"/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</row>
    <row r="128" spans="1:14">
      <c r="A128" s="114"/>
      <c r="B128" s="114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</row>
    <row r="129" spans="1:14">
      <c r="A129" s="114"/>
      <c r="B129" s="114"/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</row>
    <row r="130" spans="1:14">
      <c r="A130" s="114"/>
      <c r="B130" s="114"/>
      <c r="C130" s="114"/>
      <c r="D130" s="114"/>
      <c r="E130" s="114"/>
      <c r="F130" s="114"/>
      <c r="G130" s="114"/>
      <c r="H130" s="114"/>
      <c r="I130" s="114"/>
      <c r="J130" s="114"/>
      <c r="K130" s="114"/>
      <c r="L130" s="114"/>
      <c r="M130" s="114"/>
      <c r="N130" s="114"/>
    </row>
    <row r="131" spans="1:14">
      <c r="A131" s="114"/>
      <c r="B131" s="114"/>
      <c r="C131" s="114"/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4"/>
    </row>
    <row r="132" spans="1:14">
      <c r="A132" s="114"/>
      <c r="B132" s="114"/>
      <c r="C132" s="114"/>
      <c r="D132" s="114"/>
      <c r="E132" s="114"/>
      <c r="F132" s="114"/>
      <c r="G132" s="114"/>
      <c r="H132" s="114"/>
      <c r="I132" s="114"/>
      <c r="J132" s="114"/>
      <c r="K132" s="114"/>
      <c r="L132" s="114"/>
      <c r="M132" s="114"/>
      <c r="N132" s="114"/>
    </row>
    <row r="133" spans="1:14">
      <c r="A133" s="114"/>
      <c r="B133" s="114"/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</row>
    <row r="134" spans="1:14">
      <c r="A134" s="114"/>
      <c r="B134" s="114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</row>
    <row r="135" spans="1:14">
      <c r="A135" s="114"/>
      <c r="B135" s="114"/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</row>
    <row r="136" spans="1:14">
      <c r="A136" s="114"/>
      <c r="B136" s="114"/>
      <c r="C136" s="114"/>
      <c r="D136" s="114"/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</row>
    <row r="137" spans="1:14">
      <c r="A137" s="114"/>
      <c r="B137" s="114"/>
      <c r="C137" s="114"/>
      <c r="D137" s="114"/>
      <c r="E137" s="114"/>
      <c r="F137" s="114"/>
      <c r="G137" s="114"/>
      <c r="H137" s="114"/>
      <c r="I137" s="114"/>
      <c r="J137" s="114"/>
      <c r="K137" s="114"/>
      <c r="L137" s="114"/>
      <c r="M137" s="114"/>
      <c r="N137" s="114"/>
    </row>
    <row r="138" spans="1:14">
      <c r="A138" s="114"/>
      <c r="B138" s="114"/>
      <c r="C138" s="114"/>
      <c r="D138" s="114"/>
      <c r="E138" s="114"/>
      <c r="F138" s="114"/>
      <c r="G138" s="114"/>
      <c r="H138" s="114"/>
      <c r="I138" s="114"/>
      <c r="J138" s="114"/>
      <c r="K138" s="114"/>
      <c r="L138" s="114"/>
      <c r="M138" s="114"/>
      <c r="N138" s="114"/>
    </row>
    <row r="139" spans="1:14">
      <c r="A139" s="114"/>
      <c r="B139" s="114"/>
      <c r="C139" s="114"/>
      <c r="D139" s="114"/>
      <c r="E139" s="114"/>
      <c r="F139" s="114"/>
      <c r="G139" s="114"/>
      <c r="H139" s="114"/>
      <c r="I139" s="114"/>
      <c r="J139" s="114"/>
      <c r="K139" s="114"/>
      <c r="L139" s="114"/>
      <c r="M139" s="114"/>
      <c r="N139" s="114"/>
    </row>
    <row r="140" spans="1:14">
      <c r="A140" s="114"/>
      <c r="B140" s="114"/>
      <c r="C140" s="114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</row>
    <row r="141" spans="1:14">
      <c r="A141" s="114"/>
      <c r="B141" s="114"/>
      <c r="C141" s="114"/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</row>
    <row r="142" spans="1:14">
      <c r="A142" s="114"/>
      <c r="B142" s="114"/>
      <c r="C142" s="114"/>
      <c r="D142" s="114"/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</row>
    <row r="143" spans="1:14">
      <c r="A143" s="114"/>
      <c r="B143" s="114"/>
      <c r="C143" s="114"/>
      <c r="D143" s="114"/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</row>
    <row r="144" spans="1:14">
      <c r="A144" s="114"/>
      <c r="B144" s="114"/>
      <c r="C144" s="114"/>
      <c r="D144" s="114"/>
      <c r="E144" s="114"/>
      <c r="F144" s="114"/>
      <c r="G144" s="114"/>
      <c r="H144" s="114"/>
      <c r="I144" s="114"/>
      <c r="J144" s="114"/>
      <c r="K144" s="114"/>
      <c r="L144" s="114"/>
      <c r="M144" s="114"/>
      <c r="N144" s="114"/>
    </row>
    <row r="145" spans="1:14">
      <c r="A145" s="114"/>
      <c r="B145" s="114"/>
      <c r="C145" s="114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</row>
    <row r="146" spans="1:14">
      <c r="A146" s="114"/>
      <c r="B146" s="114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</row>
    <row r="147" spans="1:14">
      <c r="A147" s="114"/>
      <c r="B147" s="114"/>
      <c r="C147" s="114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</row>
    <row r="148" spans="1:14">
      <c r="A148" s="114"/>
      <c r="B148" s="114"/>
      <c r="C148" s="114"/>
      <c r="D148" s="114"/>
      <c r="E148" s="114"/>
      <c r="F148" s="114"/>
      <c r="G148" s="114"/>
      <c r="H148" s="114"/>
      <c r="I148" s="114"/>
      <c r="J148" s="114"/>
      <c r="K148" s="114"/>
      <c r="L148" s="114"/>
      <c r="M148" s="114"/>
      <c r="N148" s="114"/>
    </row>
    <row r="149" spans="1:14">
      <c r="A149" s="114"/>
      <c r="B149" s="114"/>
      <c r="C149" s="114"/>
      <c r="D149" s="114"/>
      <c r="E149" s="114"/>
      <c r="F149" s="114"/>
      <c r="G149" s="114"/>
      <c r="H149" s="114"/>
      <c r="I149" s="114"/>
      <c r="J149" s="114"/>
      <c r="K149" s="114"/>
      <c r="L149" s="114"/>
      <c r="M149" s="114"/>
      <c r="N149" s="114"/>
    </row>
    <row r="150" spans="1:14">
      <c r="A150" s="114"/>
      <c r="B150" s="114"/>
      <c r="C150" s="114"/>
      <c r="D150" s="114"/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</row>
    <row r="151" spans="1:14">
      <c r="A151" s="114"/>
      <c r="B151" s="114"/>
      <c r="C151" s="114"/>
      <c r="D151" s="114"/>
      <c r="E151" s="114"/>
      <c r="F151" s="114"/>
      <c r="G151" s="114"/>
      <c r="H151" s="114"/>
      <c r="I151" s="114"/>
      <c r="J151" s="114"/>
      <c r="K151" s="114"/>
      <c r="L151" s="114"/>
      <c r="M151" s="114"/>
      <c r="N151" s="114"/>
    </row>
    <row r="152" spans="1:14">
      <c r="A152" s="114"/>
      <c r="B152" s="114"/>
      <c r="C152" s="114"/>
      <c r="D152" s="114"/>
      <c r="E152" s="114"/>
      <c r="F152" s="114"/>
      <c r="G152" s="114"/>
      <c r="H152" s="114"/>
      <c r="I152" s="114"/>
      <c r="J152" s="114"/>
      <c r="K152" s="114"/>
      <c r="L152" s="114"/>
      <c r="M152" s="114"/>
      <c r="N152" s="114"/>
    </row>
    <row r="153" spans="1:14">
      <c r="A153" s="114"/>
      <c r="B153" s="114"/>
      <c r="C153" s="114"/>
      <c r="D153" s="114"/>
      <c r="E153" s="114"/>
      <c r="F153" s="114"/>
      <c r="G153" s="114"/>
      <c r="H153" s="114"/>
      <c r="I153" s="114"/>
      <c r="J153" s="114"/>
      <c r="K153" s="114"/>
      <c r="L153" s="114"/>
      <c r="M153" s="114"/>
      <c r="N153" s="114"/>
    </row>
    <row r="154" spans="1:14">
      <c r="A154" s="114"/>
      <c r="B154" s="114"/>
      <c r="C154" s="114"/>
      <c r="D154" s="114"/>
      <c r="E154" s="114"/>
      <c r="F154" s="114"/>
      <c r="G154" s="114"/>
      <c r="H154" s="114"/>
      <c r="I154" s="114"/>
      <c r="J154" s="114"/>
      <c r="K154" s="114"/>
      <c r="L154" s="114"/>
      <c r="M154" s="114"/>
      <c r="N154" s="114"/>
    </row>
    <row r="155" spans="1:14">
      <c r="A155" s="114"/>
      <c r="B155" s="114"/>
      <c r="C155" s="114"/>
      <c r="D155" s="114"/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</row>
    <row r="156" spans="1:14">
      <c r="A156" s="114"/>
      <c r="B156" s="114"/>
      <c r="C156" s="114"/>
      <c r="D156" s="114"/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</row>
    <row r="157" spans="1:14">
      <c r="A157" s="114"/>
      <c r="B157" s="114"/>
      <c r="C157" s="114"/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</row>
    <row r="158" spans="1:14">
      <c r="A158" s="114"/>
      <c r="B158" s="114"/>
      <c r="C158" s="114"/>
      <c r="D158" s="114"/>
      <c r="E158" s="114"/>
      <c r="F158" s="114"/>
      <c r="G158" s="114"/>
      <c r="H158" s="114"/>
      <c r="I158" s="114"/>
      <c r="J158" s="114"/>
      <c r="K158" s="114"/>
      <c r="L158" s="114"/>
      <c r="M158" s="114"/>
      <c r="N158" s="114"/>
    </row>
    <row r="159" spans="1:14">
      <c r="A159" s="114"/>
      <c r="B159" s="114"/>
      <c r="C159" s="114"/>
      <c r="D159" s="114"/>
      <c r="E159" s="114"/>
      <c r="F159" s="114"/>
      <c r="G159" s="114"/>
      <c r="H159" s="114"/>
      <c r="I159" s="114"/>
      <c r="J159" s="114"/>
      <c r="K159" s="114"/>
      <c r="L159" s="114"/>
      <c r="M159" s="114"/>
      <c r="N159" s="114"/>
    </row>
    <row r="160" spans="1:14">
      <c r="A160" s="114"/>
      <c r="B160" s="114"/>
      <c r="C160" s="114"/>
      <c r="D160" s="114"/>
      <c r="E160" s="114"/>
      <c r="F160" s="114"/>
      <c r="G160" s="114"/>
      <c r="H160" s="114"/>
      <c r="I160" s="114"/>
      <c r="J160" s="114"/>
      <c r="K160" s="114"/>
      <c r="L160" s="114"/>
      <c r="M160" s="114"/>
      <c r="N160" s="114"/>
    </row>
    <row r="161" spans="1:14">
      <c r="A161" s="114"/>
      <c r="B161" s="114"/>
      <c r="C161" s="114"/>
      <c r="D161" s="114"/>
      <c r="E161" s="114"/>
      <c r="F161" s="114"/>
      <c r="G161" s="114"/>
      <c r="H161" s="114"/>
      <c r="I161" s="114"/>
      <c r="J161" s="114"/>
      <c r="K161" s="114"/>
      <c r="L161" s="114"/>
      <c r="M161" s="114"/>
      <c r="N161" s="114"/>
    </row>
    <row r="162" spans="1:14">
      <c r="A162" s="114"/>
      <c r="B162" s="114"/>
      <c r="C162" s="114"/>
      <c r="D162" s="114"/>
      <c r="E162" s="114"/>
      <c r="F162" s="114"/>
      <c r="G162" s="114"/>
      <c r="H162" s="114"/>
      <c r="I162" s="114"/>
      <c r="J162" s="114"/>
      <c r="K162" s="114"/>
      <c r="L162" s="114"/>
      <c r="M162" s="114"/>
      <c r="N162" s="114"/>
    </row>
    <row r="163" spans="1:14">
      <c r="A163" s="114"/>
      <c r="B163" s="114"/>
      <c r="C163" s="114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</row>
    <row r="164" spans="1:14">
      <c r="A164" s="114"/>
      <c r="B164" s="114"/>
      <c r="C164" s="114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</row>
    <row r="165" spans="1:14">
      <c r="A165" s="114"/>
      <c r="B165" s="114"/>
      <c r="C165" s="114"/>
      <c r="D165" s="114"/>
      <c r="E165" s="114"/>
      <c r="F165" s="114"/>
      <c r="G165" s="114"/>
      <c r="H165" s="114"/>
      <c r="I165" s="114"/>
      <c r="J165" s="114"/>
      <c r="K165" s="114"/>
      <c r="L165" s="114"/>
      <c r="M165" s="114"/>
      <c r="N165" s="114"/>
    </row>
    <row r="166" spans="1:14">
      <c r="A166" s="114"/>
      <c r="B166" s="114"/>
      <c r="C166" s="114"/>
      <c r="D166" s="114"/>
      <c r="E166" s="114"/>
      <c r="F166" s="114"/>
      <c r="G166" s="114"/>
      <c r="H166" s="114"/>
      <c r="I166" s="114"/>
      <c r="J166" s="114"/>
      <c r="K166" s="114"/>
      <c r="L166" s="114"/>
      <c r="M166" s="114"/>
      <c r="N166" s="114"/>
    </row>
    <row r="167" spans="1:14">
      <c r="A167" s="114"/>
      <c r="B167" s="114"/>
      <c r="C167" s="114"/>
      <c r="D167" s="114"/>
      <c r="E167" s="114"/>
      <c r="F167" s="114"/>
      <c r="G167" s="114"/>
      <c r="H167" s="114"/>
      <c r="I167" s="114"/>
      <c r="J167" s="114"/>
      <c r="K167" s="114"/>
      <c r="L167" s="114"/>
      <c r="M167" s="114"/>
      <c r="N167" s="114"/>
    </row>
    <row r="168" spans="1:14">
      <c r="A168" s="114"/>
      <c r="B168" s="114"/>
      <c r="C168" s="114"/>
      <c r="D168" s="114"/>
      <c r="E168" s="114"/>
      <c r="F168" s="114"/>
      <c r="G168" s="114"/>
      <c r="H168" s="114"/>
      <c r="I168" s="114"/>
      <c r="J168" s="114"/>
      <c r="K168" s="114"/>
      <c r="L168" s="114"/>
      <c r="M168" s="114"/>
      <c r="N168" s="114"/>
    </row>
    <row r="169" spans="1:14">
      <c r="A169" s="114"/>
      <c r="B169" s="114"/>
      <c r="C169" s="114"/>
      <c r="D169" s="114"/>
      <c r="E169" s="114"/>
      <c r="F169" s="114"/>
      <c r="G169" s="114"/>
      <c r="H169" s="114"/>
      <c r="I169" s="114"/>
      <c r="J169" s="114"/>
      <c r="K169" s="114"/>
      <c r="L169" s="114"/>
      <c r="M169" s="114"/>
      <c r="N169" s="114"/>
    </row>
    <row r="170" spans="1:14">
      <c r="A170" s="114"/>
      <c r="B170" s="114"/>
      <c r="C170" s="114"/>
      <c r="D170" s="114"/>
      <c r="E170" s="114"/>
      <c r="F170" s="114"/>
      <c r="G170" s="114"/>
      <c r="H170" s="114"/>
      <c r="I170" s="114"/>
      <c r="J170" s="114"/>
      <c r="K170" s="114"/>
      <c r="L170" s="114"/>
      <c r="M170" s="114"/>
      <c r="N170" s="114"/>
    </row>
    <row r="171" spans="1:14">
      <c r="A171" s="114"/>
      <c r="B171" s="114"/>
      <c r="C171" s="114"/>
      <c r="D171" s="114"/>
      <c r="E171" s="114"/>
      <c r="F171" s="114"/>
      <c r="G171" s="114"/>
      <c r="H171" s="114"/>
      <c r="I171" s="114"/>
      <c r="J171" s="114"/>
      <c r="K171" s="114"/>
      <c r="L171" s="114"/>
      <c r="M171" s="114"/>
      <c r="N171" s="114"/>
    </row>
    <row r="172" spans="1:14">
      <c r="A172" s="114"/>
      <c r="B172" s="114"/>
      <c r="C172" s="114"/>
      <c r="D172" s="114"/>
      <c r="E172" s="114"/>
      <c r="F172" s="114"/>
      <c r="G172" s="114"/>
      <c r="H172" s="114"/>
      <c r="I172" s="114"/>
      <c r="J172" s="114"/>
      <c r="K172" s="114"/>
      <c r="L172" s="114"/>
      <c r="M172" s="114"/>
      <c r="N172" s="114"/>
    </row>
    <row r="173" spans="1:14">
      <c r="A173" s="114"/>
      <c r="B173" s="114"/>
      <c r="C173" s="114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</row>
    <row r="174" spans="1:14">
      <c r="A174" s="114"/>
      <c r="B174" s="114"/>
      <c r="C174" s="114"/>
      <c r="D174" s="114"/>
      <c r="E174" s="114"/>
      <c r="F174" s="114"/>
      <c r="G174" s="114"/>
      <c r="H174" s="114"/>
      <c r="I174" s="114"/>
      <c r="J174" s="114"/>
      <c r="K174" s="114"/>
      <c r="L174" s="114"/>
      <c r="M174" s="114"/>
      <c r="N174" s="114"/>
    </row>
    <row r="175" spans="1:14">
      <c r="A175" s="114"/>
      <c r="B175" s="114"/>
      <c r="C175" s="114"/>
      <c r="D175" s="114"/>
      <c r="E175" s="114"/>
      <c r="F175" s="114"/>
      <c r="G175" s="114"/>
      <c r="H175" s="114"/>
      <c r="I175" s="114"/>
      <c r="J175" s="114"/>
      <c r="K175" s="114"/>
      <c r="L175" s="114"/>
      <c r="M175" s="114"/>
      <c r="N175" s="114"/>
    </row>
    <row r="176" spans="1:14">
      <c r="A176" s="114"/>
      <c r="B176" s="114"/>
      <c r="C176" s="114"/>
      <c r="D176" s="114"/>
      <c r="E176" s="114"/>
      <c r="F176" s="114"/>
      <c r="G176" s="114"/>
      <c r="H176" s="114"/>
      <c r="I176" s="114"/>
      <c r="J176" s="114"/>
      <c r="K176" s="114"/>
      <c r="L176" s="114"/>
      <c r="M176" s="114"/>
      <c r="N176" s="114"/>
    </row>
    <row r="177" spans="1:14">
      <c r="A177" s="114"/>
      <c r="B177" s="114"/>
      <c r="C177" s="114"/>
      <c r="D177" s="114"/>
      <c r="E177" s="114"/>
      <c r="F177" s="114"/>
      <c r="G177" s="114"/>
      <c r="H177" s="114"/>
      <c r="I177" s="114"/>
      <c r="J177" s="114"/>
      <c r="K177" s="114"/>
      <c r="L177" s="114"/>
      <c r="M177" s="114"/>
      <c r="N177" s="114"/>
    </row>
    <row r="178" spans="1:14">
      <c r="A178" s="114"/>
      <c r="B178" s="114"/>
      <c r="C178" s="114"/>
      <c r="D178" s="114"/>
      <c r="E178" s="114"/>
      <c r="F178" s="114"/>
      <c r="G178" s="114"/>
      <c r="H178" s="114"/>
      <c r="I178" s="114"/>
      <c r="J178" s="114"/>
      <c r="K178" s="114"/>
      <c r="L178" s="114"/>
      <c r="M178" s="114"/>
      <c r="N178" s="114"/>
    </row>
    <row r="179" spans="1:14">
      <c r="A179" s="114"/>
      <c r="B179" s="114"/>
      <c r="C179" s="114"/>
      <c r="D179" s="114"/>
      <c r="E179" s="114"/>
      <c r="F179" s="114"/>
      <c r="G179" s="114"/>
      <c r="H179" s="114"/>
      <c r="I179" s="114"/>
      <c r="J179" s="114"/>
      <c r="K179" s="114"/>
      <c r="L179" s="114"/>
      <c r="M179" s="114"/>
      <c r="N179" s="114"/>
    </row>
    <row r="180" spans="1:14">
      <c r="A180" s="114"/>
      <c r="B180" s="114"/>
      <c r="C180" s="114"/>
      <c r="D180" s="114"/>
      <c r="E180" s="114"/>
      <c r="F180" s="114"/>
      <c r="G180" s="114"/>
      <c r="H180" s="114"/>
      <c r="I180" s="114"/>
      <c r="J180" s="114"/>
      <c r="K180" s="114"/>
      <c r="L180" s="114"/>
      <c r="M180" s="114"/>
      <c r="N180" s="114"/>
    </row>
    <row r="181" spans="1:14">
      <c r="A181" s="114"/>
      <c r="B181" s="114"/>
      <c r="C181" s="114"/>
      <c r="D181" s="114"/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</row>
    <row r="182" spans="1:14">
      <c r="A182" s="114"/>
      <c r="B182" s="114"/>
      <c r="C182" s="114"/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</row>
    <row r="183" spans="1:14">
      <c r="A183" s="114"/>
      <c r="B183" s="114"/>
      <c r="C183" s="114"/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</row>
    <row r="184" spans="1:14">
      <c r="A184" s="114"/>
      <c r="B184" s="114"/>
      <c r="C184" s="114"/>
      <c r="D184" s="114"/>
      <c r="E184" s="114"/>
      <c r="F184" s="114"/>
      <c r="G184" s="114"/>
      <c r="H184" s="114"/>
      <c r="I184" s="114"/>
      <c r="J184" s="114"/>
      <c r="K184" s="114"/>
      <c r="L184" s="114"/>
      <c r="M184" s="114"/>
      <c r="N184" s="114"/>
    </row>
    <row r="185" spans="1:14">
      <c r="A185" s="114"/>
      <c r="B185" s="114"/>
      <c r="C185" s="114"/>
      <c r="D185" s="114"/>
      <c r="E185" s="114"/>
      <c r="F185" s="114"/>
      <c r="G185" s="114"/>
      <c r="H185" s="114"/>
      <c r="I185" s="114"/>
      <c r="J185" s="114"/>
      <c r="K185" s="114"/>
      <c r="L185" s="114"/>
      <c r="M185" s="114"/>
      <c r="N185" s="114"/>
    </row>
    <row r="186" spans="1:14">
      <c r="A186" s="114"/>
      <c r="B186" s="114"/>
      <c r="C186" s="114"/>
      <c r="D186" s="114"/>
      <c r="E186" s="114"/>
      <c r="F186" s="114"/>
      <c r="G186" s="114"/>
      <c r="H186" s="114"/>
      <c r="I186" s="114"/>
      <c r="J186" s="114"/>
      <c r="K186" s="114"/>
      <c r="L186" s="114"/>
      <c r="M186" s="114"/>
      <c r="N186" s="114"/>
    </row>
    <row r="187" spans="1:14">
      <c r="A187" s="114"/>
      <c r="B187" s="114"/>
      <c r="C187" s="114"/>
      <c r="D187" s="114"/>
      <c r="E187" s="114"/>
      <c r="F187" s="114"/>
      <c r="G187" s="114"/>
      <c r="H187" s="114"/>
      <c r="I187" s="114"/>
      <c r="J187" s="114"/>
      <c r="K187" s="114"/>
      <c r="L187" s="114"/>
      <c r="M187" s="114"/>
      <c r="N187" s="114"/>
    </row>
    <row r="188" spans="1:14">
      <c r="A188" s="114"/>
      <c r="B188" s="114"/>
      <c r="C188" s="114"/>
      <c r="D188" s="114"/>
      <c r="E188" s="114"/>
      <c r="F188" s="114"/>
      <c r="G188" s="114"/>
      <c r="H188" s="114"/>
      <c r="I188" s="114"/>
      <c r="J188" s="114"/>
      <c r="K188" s="114"/>
      <c r="L188" s="114"/>
      <c r="M188" s="114"/>
      <c r="N188" s="114"/>
    </row>
    <row r="189" spans="1:14">
      <c r="A189" s="114"/>
      <c r="B189" s="114"/>
      <c r="C189" s="114"/>
      <c r="D189" s="114"/>
      <c r="E189" s="114"/>
      <c r="F189" s="114"/>
      <c r="G189" s="114"/>
      <c r="H189" s="114"/>
      <c r="I189" s="114"/>
      <c r="J189" s="114"/>
      <c r="K189" s="114"/>
      <c r="L189" s="114"/>
      <c r="M189" s="114"/>
      <c r="N189" s="114"/>
    </row>
    <row r="190" spans="1:14">
      <c r="A190" s="114"/>
      <c r="B190" s="114"/>
      <c r="C190" s="114"/>
      <c r="D190" s="114"/>
      <c r="E190" s="114"/>
      <c r="F190" s="114"/>
      <c r="G190" s="114"/>
      <c r="H190" s="114"/>
      <c r="I190" s="114"/>
      <c r="J190" s="114"/>
      <c r="K190" s="114"/>
      <c r="L190" s="114"/>
      <c r="M190" s="114"/>
      <c r="N190" s="114"/>
    </row>
    <row r="191" spans="1:14">
      <c r="A191" s="114"/>
      <c r="B191" s="114"/>
      <c r="C191" s="114"/>
      <c r="D191" s="114"/>
      <c r="E191" s="114"/>
      <c r="F191" s="114"/>
      <c r="G191" s="114"/>
      <c r="H191" s="114"/>
      <c r="I191" s="114"/>
      <c r="J191" s="114"/>
      <c r="K191" s="114"/>
      <c r="L191" s="114"/>
      <c r="M191" s="114"/>
      <c r="N191" s="114"/>
    </row>
    <row r="192" spans="1:14">
      <c r="A192" s="114"/>
      <c r="B192" s="114"/>
      <c r="C192" s="114"/>
      <c r="D192" s="114"/>
      <c r="E192" s="114"/>
      <c r="F192" s="114"/>
      <c r="G192" s="114"/>
      <c r="H192" s="114"/>
      <c r="I192" s="114"/>
      <c r="J192" s="114"/>
      <c r="K192" s="114"/>
      <c r="L192" s="114"/>
      <c r="M192" s="114"/>
      <c r="N192" s="114"/>
    </row>
    <row r="193" spans="1:14">
      <c r="A193" s="114"/>
      <c r="B193" s="114"/>
      <c r="C193" s="114"/>
      <c r="D193" s="114"/>
      <c r="E193" s="114"/>
      <c r="F193" s="114"/>
      <c r="G193" s="114"/>
      <c r="H193" s="114"/>
      <c r="I193" s="114"/>
      <c r="J193" s="114"/>
      <c r="K193" s="114"/>
      <c r="L193" s="114"/>
      <c r="M193" s="114"/>
      <c r="N193" s="114"/>
    </row>
    <row r="194" spans="1:14">
      <c r="A194" s="114"/>
      <c r="B194" s="114"/>
      <c r="C194" s="114"/>
      <c r="D194" s="114"/>
      <c r="E194" s="114"/>
      <c r="F194" s="114"/>
      <c r="G194" s="114"/>
      <c r="H194" s="114"/>
      <c r="I194" s="114"/>
      <c r="J194" s="114"/>
      <c r="K194" s="114"/>
      <c r="L194" s="114"/>
      <c r="M194" s="114"/>
      <c r="N194" s="114"/>
    </row>
    <row r="195" spans="1:14">
      <c r="A195" s="114"/>
      <c r="B195" s="114"/>
      <c r="C195" s="114"/>
      <c r="D195" s="114"/>
      <c r="E195" s="114"/>
      <c r="F195" s="114"/>
      <c r="G195" s="114"/>
      <c r="H195" s="114"/>
      <c r="I195" s="114"/>
      <c r="J195" s="114"/>
      <c r="K195" s="114"/>
      <c r="L195" s="114"/>
      <c r="M195" s="114"/>
      <c r="N195" s="114"/>
    </row>
    <row r="196" spans="1:14">
      <c r="A196" s="114"/>
      <c r="B196" s="114"/>
      <c r="C196" s="114"/>
      <c r="D196" s="114"/>
      <c r="E196" s="114"/>
      <c r="F196" s="114"/>
      <c r="G196" s="114"/>
      <c r="H196" s="114"/>
      <c r="I196" s="114"/>
      <c r="J196" s="114"/>
      <c r="K196" s="114"/>
      <c r="L196" s="114"/>
      <c r="M196" s="114"/>
      <c r="N196" s="114"/>
    </row>
    <row r="197" spans="1:14">
      <c r="A197" s="114"/>
      <c r="B197" s="114"/>
      <c r="C197" s="114"/>
      <c r="D197" s="114"/>
      <c r="E197" s="114"/>
      <c r="F197" s="114"/>
      <c r="G197" s="114"/>
      <c r="H197" s="114"/>
      <c r="I197" s="114"/>
      <c r="J197" s="114"/>
      <c r="K197" s="114"/>
      <c r="L197" s="114"/>
      <c r="M197" s="114"/>
      <c r="N197" s="114"/>
    </row>
    <row r="198" spans="1:14">
      <c r="A198" s="114"/>
      <c r="B198" s="114"/>
      <c r="C198" s="114"/>
      <c r="D198" s="114"/>
      <c r="E198" s="114"/>
      <c r="F198" s="114"/>
      <c r="G198" s="114"/>
      <c r="H198" s="114"/>
      <c r="I198" s="114"/>
      <c r="J198" s="114"/>
      <c r="K198" s="114"/>
      <c r="L198" s="114"/>
      <c r="M198" s="114"/>
      <c r="N198" s="114"/>
    </row>
    <row r="199" spans="1:14">
      <c r="A199" s="114"/>
      <c r="B199" s="114"/>
      <c r="C199" s="114"/>
      <c r="D199" s="114"/>
      <c r="E199" s="114"/>
      <c r="F199" s="114"/>
      <c r="G199" s="114"/>
      <c r="H199" s="114"/>
      <c r="I199" s="114"/>
      <c r="J199" s="114"/>
      <c r="K199" s="114"/>
      <c r="L199" s="114"/>
      <c r="M199" s="114"/>
      <c r="N199" s="114"/>
    </row>
    <row r="200" spans="1:14">
      <c r="A200" s="114"/>
      <c r="B200" s="114"/>
      <c r="C200" s="114"/>
      <c r="D200" s="114"/>
      <c r="E200" s="114"/>
      <c r="F200" s="114"/>
      <c r="G200" s="114"/>
      <c r="H200" s="114"/>
      <c r="I200" s="114"/>
      <c r="J200" s="114"/>
      <c r="K200" s="114"/>
      <c r="L200" s="114"/>
      <c r="M200" s="114"/>
      <c r="N200" s="114"/>
    </row>
    <row r="201" spans="1:14">
      <c r="A201" s="114"/>
      <c r="B201" s="114"/>
      <c r="C201" s="114"/>
      <c r="D201" s="114"/>
      <c r="E201" s="114"/>
      <c r="F201" s="114"/>
      <c r="G201" s="114"/>
      <c r="H201" s="114"/>
      <c r="I201" s="114"/>
      <c r="J201" s="114"/>
      <c r="K201" s="114"/>
      <c r="L201" s="114"/>
      <c r="M201" s="114"/>
      <c r="N201" s="114"/>
    </row>
    <row r="202" spans="1:14">
      <c r="A202" s="114"/>
      <c r="B202" s="114"/>
      <c r="C202" s="114"/>
      <c r="D202" s="114"/>
      <c r="E202" s="114"/>
      <c r="F202" s="114"/>
      <c r="G202" s="114"/>
      <c r="H202" s="114"/>
      <c r="I202" s="114"/>
      <c r="J202" s="114"/>
      <c r="K202" s="114"/>
      <c r="L202" s="114"/>
      <c r="M202" s="114"/>
      <c r="N202" s="114"/>
    </row>
    <row r="203" spans="1:14">
      <c r="A203" s="114"/>
      <c r="B203" s="114"/>
      <c r="C203" s="114"/>
      <c r="D203" s="114"/>
      <c r="E203" s="114"/>
      <c r="F203" s="114"/>
      <c r="G203" s="114"/>
      <c r="H203" s="114"/>
      <c r="I203" s="114"/>
      <c r="J203" s="114"/>
      <c r="K203" s="114"/>
      <c r="L203" s="114"/>
      <c r="M203" s="114"/>
      <c r="N203" s="114"/>
    </row>
    <row r="204" spans="1:14">
      <c r="A204" s="114"/>
      <c r="B204" s="114"/>
      <c r="C204" s="114"/>
      <c r="D204" s="114"/>
      <c r="E204" s="114"/>
      <c r="F204" s="114"/>
      <c r="G204" s="114"/>
      <c r="H204" s="114"/>
      <c r="I204" s="114"/>
      <c r="J204" s="114"/>
      <c r="K204" s="114"/>
      <c r="L204" s="114"/>
      <c r="M204" s="114"/>
      <c r="N204" s="114"/>
    </row>
    <row r="205" spans="1:14">
      <c r="A205" s="114"/>
      <c r="B205" s="114"/>
      <c r="C205" s="114"/>
      <c r="D205" s="114"/>
      <c r="E205" s="114"/>
      <c r="F205" s="114"/>
      <c r="G205" s="114"/>
      <c r="H205" s="114"/>
      <c r="I205" s="114"/>
      <c r="J205" s="114"/>
      <c r="K205" s="114"/>
      <c r="L205" s="114"/>
      <c r="M205" s="114"/>
      <c r="N205" s="114"/>
    </row>
    <row r="206" spans="1:14">
      <c r="A206" s="114"/>
      <c r="B206" s="114"/>
      <c r="C206" s="114"/>
      <c r="D206" s="114"/>
      <c r="E206" s="114"/>
      <c r="F206" s="114"/>
      <c r="G206" s="114"/>
      <c r="H206" s="114"/>
      <c r="I206" s="114"/>
      <c r="J206" s="114"/>
      <c r="K206" s="114"/>
      <c r="L206" s="114"/>
      <c r="M206" s="114"/>
      <c r="N206" s="114"/>
    </row>
    <row r="207" spans="1:14">
      <c r="A207" s="114"/>
      <c r="B207" s="114"/>
      <c r="C207" s="114"/>
      <c r="D207" s="114"/>
      <c r="E207" s="114"/>
      <c r="F207" s="114"/>
      <c r="G207" s="114"/>
      <c r="H207" s="114"/>
      <c r="I207" s="114"/>
      <c r="J207" s="114"/>
      <c r="K207" s="114"/>
      <c r="L207" s="114"/>
      <c r="M207" s="114"/>
      <c r="N207" s="114"/>
    </row>
    <row r="208" spans="1:14">
      <c r="A208" s="114"/>
      <c r="B208" s="114"/>
      <c r="C208" s="114"/>
      <c r="D208" s="114"/>
      <c r="E208" s="114"/>
      <c r="F208" s="114"/>
      <c r="G208" s="114"/>
      <c r="H208" s="114"/>
      <c r="I208" s="114"/>
      <c r="J208" s="114"/>
      <c r="K208" s="114"/>
      <c r="L208" s="114"/>
      <c r="M208" s="114"/>
      <c r="N208" s="114"/>
    </row>
    <row r="209" spans="1:14">
      <c r="A209" s="114"/>
      <c r="B209" s="114"/>
      <c r="C209" s="114"/>
      <c r="D209" s="114"/>
      <c r="E209" s="114"/>
      <c r="F209" s="114"/>
      <c r="G209" s="114"/>
      <c r="H209" s="114"/>
      <c r="I209" s="114"/>
      <c r="J209" s="114"/>
      <c r="K209" s="114"/>
      <c r="L209" s="114"/>
      <c r="M209" s="114"/>
      <c r="N209" s="114"/>
    </row>
    <row r="210" spans="1:14">
      <c r="A210" s="114"/>
      <c r="B210" s="114"/>
      <c r="C210" s="114"/>
      <c r="D210" s="114"/>
      <c r="E210" s="114"/>
      <c r="F210" s="114"/>
      <c r="G210" s="114"/>
      <c r="H210" s="114"/>
      <c r="I210" s="114"/>
      <c r="J210" s="114"/>
      <c r="K210" s="114"/>
      <c r="L210" s="114"/>
      <c r="M210" s="114"/>
      <c r="N210" s="114"/>
    </row>
    <row r="211" spans="1:14">
      <c r="A211" s="114"/>
      <c r="B211" s="114"/>
      <c r="C211" s="114"/>
      <c r="D211" s="114"/>
      <c r="E211" s="114"/>
      <c r="F211" s="114"/>
      <c r="G211" s="114"/>
      <c r="H211" s="114"/>
      <c r="I211" s="114"/>
      <c r="J211" s="114"/>
      <c r="K211" s="114"/>
      <c r="L211" s="114"/>
      <c r="M211" s="114"/>
      <c r="N211" s="114"/>
    </row>
    <row r="212" spans="1:14">
      <c r="A212" s="114"/>
      <c r="B212" s="114"/>
      <c r="C212" s="114"/>
      <c r="D212" s="114"/>
      <c r="E212" s="114"/>
      <c r="F212" s="114"/>
      <c r="G212" s="114"/>
      <c r="H212" s="114"/>
      <c r="I212" s="114"/>
      <c r="J212" s="114"/>
      <c r="K212" s="114"/>
      <c r="L212" s="114"/>
      <c r="M212" s="114"/>
      <c r="N212" s="114"/>
    </row>
    <row r="213" spans="1:14">
      <c r="A213" s="114"/>
      <c r="B213" s="114"/>
      <c r="C213" s="114"/>
      <c r="D213" s="114"/>
      <c r="E213" s="114"/>
      <c r="F213" s="114"/>
      <c r="G213" s="114"/>
      <c r="H213" s="114"/>
      <c r="I213" s="114"/>
      <c r="J213" s="114"/>
      <c r="K213" s="114"/>
      <c r="L213" s="114"/>
      <c r="M213" s="114"/>
      <c r="N213" s="114"/>
    </row>
    <row r="214" spans="1:14">
      <c r="A214" s="114"/>
      <c r="B214" s="114"/>
      <c r="C214" s="114"/>
      <c r="D214" s="114"/>
      <c r="E214" s="114"/>
      <c r="F214" s="114"/>
      <c r="G214" s="114"/>
      <c r="H214" s="114"/>
      <c r="I214" s="114"/>
      <c r="J214" s="114"/>
      <c r="K214" s="114"/>
      <c r="L214" s="114"/>
      <c r="M214" s="114"/>
      <c r="N214" s="114"/>
    </row>
    <row r="215" spans="1:14">
      <c r="A215" s="114"/>
      <c r="B215" s="114"/>
      <c r="C215" s="114"/>
      <c r="D215" s="114"/>
      <c r="E215" s="114"/>
      <c r="F215" s="114"/>
      <c r="G215" s="114"/>
      <c r="H215" s="114"/>
      <c r="I215" s="114"/>
      <c r="J215" s="114"/>
      <c r="K215" s="114"/>
      <c r="L215" s="114"/>
      <c r="M215" s="114"/>
      <c r="N215" s="114"/>
    </row>
    <row r="216" spans="1:14">
      <c r="A216" s="114"/>
      <c r="B216" s="114"/>
      <c r="C216" s="114"/>
      <c r="D216" s="114"/>
      <c r="E216" s="114"/>
      <c r="F216" s="114"/>
      <c r="G216" s="114"/>
      <c r="H216" s="114"/>
      <c r="I216" s="114"/>
      <c r="J216" s="114"/>
      <c r="K216" s="114"/>
      <c r="L216" s="114"/>
      <c r="M216" s="114"/>
      <c r="N216" s="114"/>
    </row>
    <row r="217" spans="1:14">
      <c r="A217" s="114"/>
      <c r="B217" s="114"/>
      <c r="C217" s="114"/>
      <c r="D217" s="114"/>
      <c r="E217" s="114"/>
      <c r="F217" s="114"/>
      <c r="G217" s="114"/>
      <c r="H217" s="114"/>
      <c r="I217" s="114"/>
      <c r="J217" s="114"/>
      <c r="K217" s="114"/>
      <c r="L217" s="114"/>
      <c r="M217" s="114"/>
      <c r="N217" s="114"/>
    </row>
    <row r="218" spans="1:14">
      <c r="A218" s="114"/>
      <c r="B218" s="114"/>
      <c r="C218" s="114"/>
      <c r="D218" s="114"/>
      <c r="E218" s="114"/>
      <c r="F218" s="114"/>
      <c r="G218" s="114"/>
      <c r="H218" s="114"/>
      <c r="I218" s="114"/>
      <c r="J218" s="114"/>
      <c r="K218" s="114"/>
      <c r="L218" s="114"/>
      <c r="M218" s="114"/>
      <c r="N218" s="114"/>
    </row>
    <row r="219" spans="1:14">
      <c r="A219" s="114"/>
      <c r="B219" s="114"/>
      <c r="C219" s="114"/>
      <c r="D219" s="114"/>
      <c r="E219" s="114"/>
      <c r="F219" s="114"/>
      <c r="G219" s="114"/>
      <c r="H219" s="114"/>
      <c r="I219" s="114"/>
      <c r="J219" s="114"/>
      <c r="K219" s="114"/>
      <c r="L219" s="114"/>
      <c r="M219" s="114"/>
      <c r="N219" s="114"/>
    </row>
    <row r="220" spans="1:14">
      <c r="A220" s="114"/>
      <c r="B220" s="114"/>
      <c r="C220" s="114"/>
      <c r="D220" s="114"/>
      <c r="E220" s="114"/>
      <c r="F220" s="114"/>
      <c r="G220" s="114"/>
      <c r="H220" s="114"/>
      <c r="I220" s="114"/>
      <c r="J220" s="114"/>
      <c r="K220" s="114"/>
      <c r="L220" s="114"/>
      <c r="M220" s="114"/>
      <c r="N220" s="114"/>
    </row>
    <row r="221" spans="1:14">
      <c r="A221" s="114"/>
      <c r="B221" s="114"/>
      <c r="C221" s="114"/>
      <c r="D221" s="114"/>
      <c r="E221" s="114"/>
      <c r="F221" s="114"/>
      <c r="G221" s="114"/>
      <c r="H221" s="114"/>
      <c r="I221" s="114"/>
      <c r="J221" s="114"/>
      <c r="K221" s="114"/>
      <c r="L221" s="114"/>
      <c r="M221" s="114"/>
      <c r="N221" s="114"/>
    </row>
    <row r="222" spans="1:14">
      <c r="A222" s="114"/>
      <c r="B222" s="114"/>
      <c r="C222" s="114"/>
      <c r="D222" s="114"/>
      <c r="E222" s="114"/>
      <c r="F222" s="114"/>
      <c r="G222" s="114"/>
      <c r="H222" s="114"/>
      <c r="I222" s="114"/>
      <c r="J222" s="114"/>
      <c r="K222" s="114"/>
      <c r="L222" s="114"/>
      <c r="M222" s="114"/>
      <c r="N222" s="114"/>
    </row>
    <row r="223" spans="1:14">
      <c r="A223" s="114"/>
      <c r="B223" s="114"/>
      <c r="C223" s="114"/>
      <c r="D223" s="114"/>
      <c r="E223" s="114"/>
      <c r="F223" s="114"/>
      <c r="G223" s="114"/>
      <c r="H223" s="114"/>
      <c r="I223" s="114"/>
      <c r="J223" s="114"/>
      <c r="K223" s="114"/>
      <c r="L223" s="114"/>
      <c r="M223" s="114"/>
      <c r="N223" s="114"/>
    </row>
    <row r="224" spans="1:14">
      <c r="A224" s="114"/>
      <c r="B224" s="114"/>
      <c r="C224" s="114"/>
      <c r="D224" s="114"/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</row>
    <row r="225" spans="1:14">
      <c r="A225" s="114"/>
      <c r="B225" s="114"/>
      <c r="C225" s="114"/>
      <c r="D225" s="114"/>
      <c r="E225" s="114"/>
      <c r="F225" s="114"/>
      <c r="G225" s="114"/>
      <c r="H225" s="114"/>
      <c r="I225" s="114"/>
      <c r="J225" s="114"/>
      <c r="K225" s="114"/>
      <c r="L225" s="114"/>
      <c r="M225" s="114"/>
      <c r="N225" s="114"/>
    </row>
    <row r="226" spans="1:14">
      <c r="A226" s="114"/>
      <c r="B226" s="114"/>
      <c r="C226" s="114"/>
      <c r="D226" s="114"/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</row>
    <row r="227" spans="1:14">
      <c r="A227" s="114"/>
      <c r="B227" s="114"/>
      <c r="C227" s="114"/>
      <c r="D227" s="114"/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</row>
    <row r="228" spans="1:14">
      <c r="A228" s="114"/>
      <c r="B228" s="114"/>
      <c r="C228" s="114"/>
      <c r="D228" s="114"/>
      <c r="E228" s="114"/>
      <c r="F228" s="114"/>
      <c r="G228" s="114"/>
      <c r="H228" s="114"/>
      <c r="I228" s="114"/>
      <c r="J228" s="114"/>
      <c r="K228" s="114"/>
      <c r="L228" s="114"/>
      <c r="M228" s="114"/>
      <c r="N228" s="114"/>
    </row>
    <row r="229" spans="1:14">
      <c r="A229" s="114"/>
      <c r="B229" s="114"/>
      <c r="C229" s="114"/>
      <c r="D229" s="114"/>
      <c r="E229" s="114"/>
      <c r="F229" s="114"/>
      <c r="G229" s="114"/>
      <c r="H229" s="114"/>
      <c r="I229" s="114"/>
      <c r="J229" s="114"/>
      <c r="K229" s="114"/>
      <c r="L229" s="114"/>
      <c r="M229" s="114"/>
      <c r="N229" s="114"/>
    </row>
    <row r="230" spans="1:14">
      <c r="A230" s="114"/>
      <c r="B230" s="114"/>
      <c r="C230" s="114"/>
      <c r="D230" s="114"/>
      <c r="E230" s="114"/>
      <c r="F230" s="114"/>
      <c r="G230" s="114"/>
      <c r="H230" s="114"/>
      <c r="I230" s="114"/>
      <c r="J230" s="114"/>
      <c r="K230" s="114"/>
      <c r="L230" s="114"/>
      <c r="M230" s="114"/>
      <c r="N230" s="114"/>
    </row>
    <row r="231" spans="1:14">
      <c r="A231" s="114"/>
      <c r="B231" s="114"/>
      <c r="C231" s="114"/>
      <c r="D231" s="114"/>
      <c r="E231" s="114"/>
      <c r="F231" s="114"/>
      <c r="G231" s="114"/>
      <c r="H231" s="114"/>
      <c r="I231" s="114"/>
      <c r="J231" s="114"/>
      <c r="K231" s="114"/>
      <c r="L231" s="114"/>
      <c r="M231" s="114"/>
      <c r="N231" s="114"/>
    </row>
    <row r="232" spans="1:14">
      <c r="A232" s="114"/>
      <c r="B232" s="114"/>
      <c r="C232" s="114"/>
      <c r="D232" s="114"/>
      <c r="E232" s="114"/>
      <c r="F232" s="114"/>
      <c r="G232" s="114"/>
      <c r="H232" s="114"/>
      <c r="I232" s="114"/>
      <c r="J232" s="114"/>
      <c r="K232" s="114"/>
      <c r="L232" s="114"/>
      <c r="M232" s="114"/>
      <c r="N232" s="114"/>
    </row>
    <row r="233" spans="1:14">
      <c r="A233" s="114"/>
      <c r="B233" s="114"/>
      <c r="C233" s="114"/>
      <c r="D233" s="114"/>
      <c r="E233" s="114"/>
      <c r="F233" s="114"/>
      <c r="G233" s="114"/>
      <c r="H233" s="114"/>
      <c r="I233" s="114"/>
      <c r="J233" s="114"/>
      <c r="K233" s="114"/>
      <c r="L233" s="114"/>
      <c r="M233" s="114"/>
      <c r="N233" s="114"/>
    </row>
    <row r="234" spans="1:14">
      <c r="A234" s="114"/>
      <c r="B234" s="114"/>
      <c r="C234" s="114"/>
      <c r="D234" s="114"/>
      <c r="E234" s="114"/>
      <c r="F234" s="114"/>
      <c r="G234" s="114"/>
      <c r="H234" s="114"/>
      <c r="I234" s="114"/>
      <c r="J234" s="114"/>
      <c r="K234" s="114"/>
      <c r="L234" s="114"/>
      <c r="M234" s="114"/>
      <c r="N234" s="114"/>
    </row>
    <row r="235" spans="1:14">
      <c r="A235" s="114"/>
      <c r="B235" s="114"/>
      <c r="C235" s="114"/>
      <c r="D235" s="114"/>
      <c r="E235" s="114"/>
      <c r="F235" s="114"/>
      <c r="G235" s="114"/>
      <c r="H235" s="114"/>
      <c r="I235" s="114"/>
      <c r="J235" s="114"/>
      <c r="K235" s="114"/>
      <c r="L235" s="114"/>
      <c r="M235" s="114"/>
      <c r="N235" s="114"/>
    </row>
    <row r="236" spans="1:14">
      <c r="A236" s="114"/>
      <c r="B236" s="114"/>
      <c r="C236" s="114"/>
      <c r="D236" s="114"/>
      <c r="E236" s="114"/>
      <c r="F236" s="114"/>
      <c r="G236" s="114"/>
      <c r="H236" s="114"/>
      <c r="I236" s="114"/>
      <c r="J236" s="114"/>
      <c r="K236" s="114"/>
      <c r="L236" s="114"/>
      <c r="M236" s="114"/>
      <c r="N236" s="114"/>
    </row>
    <row r="237" spans="1:14">
      <c r="A237" s="114"/>
      <c r="B237" s="114"/>
      <c r="C237" s="114"/>
      <c r="D237" s="114"/>
      <c r="E237" s="114"/>
      <c r="F237" s="114"/>
      <c r="G237" s="114"/>
      <c r="H237" s="114"/>
      <c r="I237" s="114"/>
      <c r="J237" s="114"/>
      <c r="K237" s="114"/>
      <c r="L237" s="114"/>
      <c r="M237" s="114"/>
      <c r="N237" s="114"/>
    </row>
    <row r="238" spans="1:14">
      <c r="A238" s="114"/>
      <c r="B238" s="114"/>
      <c r="C238" s="114"/>
      <c r="D238" s="114"/>
      <c r="E238" s="114"/>
      <c r="F238" s="114"/>
      <c r="G238" s="114"/>
      <c r="H238" s="114"/>
      <c r="I238" s="114"/>
      <c r="J238" s="114"/>
      <c r="K238" s="114"/>
      <c r="L238" s="114"/>
      <c r="M238" s="114"/>
      <c r="N238" s="114"/>
    </row>
    <row r="239" spans="1:14">
      <c r="A239" s="114"/>
      <c r="B239" s="114"/>
      <c r="C239" s="114"/>
      <c r="D239" s="114"/>
      <c r="E239" s="114"/>
      <c r="F239" s="114"/>
      <c r="G239" s="114"/>
      <c r="H239" s="114"/>
      <c r="I239" s="114"/>
      <c r="J239" s="114"/>
      <c r="K239" s="114"/>
      <c r="L239" s="114"/>
      <c r="M239" s="114"/>
      <c r="N239" s="114"/>
    </row>
    <row r="240" spans="1:14">
      <c r="A240" s="114"/>
      <c r="B240" s="114"/>
      <c r="C240" s="114"/>
      <c r="D240" s="114"/>
      <c r="E240" s="114"/>
      <c r="F240" s="114"/>
      <c r="G240" s="114"/>
      <c r="H240" s="114"/>
      <c r="I240" s="114"/>
      <c r="J240" s="114"/>
      <c r="K240" s="114"/>
      <c r="L240" s="114"/>
      <c r="M240" s="114"/>
      <c r="N240" s="114"/>
    </row>
    <row r="241" spans="1:14">
      <c r="A241" s="114"/>
      <c r="B241" s="114"/>
      <c r="C241" s="114"/>
      <c r="D241" s="114"/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</row>
    <row r="242" spans="1:14">
      <c r="A242" s="114"/>
      <c r="B242" s="114"/>
      <c r="C242" s="114"/>
      <c r="D242" s="114"/>
      <c r="E242" s="114"/>
      <c r="F242" s="114"/>
      <c r="G242" s="114"/>
      <c r="H242" s="114"/>
      <c r="I242" s="114"/>
      <c r="J242" s="114"/>
      <c r="K242" s="114"/>
      <c r="L242" s="114"/>
      <c r="M242" s="114"/>
      <c r="N242" s="114"/>
    </row>
    <row r="243" spans="1:14">
      <c r="A243" s="114"/>
      <c r="B243" s="114"/>
      <c r="C243" s="114"/>
      <c r="D243" s="114"/>
      <c r="E243" s="114"/>
      <c r="F243" s="114"/>
      <c r="G243" s="114"/>
      <c r="H243" s="114"/>
      <c r="I243" s="114"/>
      <c r="J243" s="114"/>
      <c r="K243" s="114"/>
      <c r="L243" s="114"/>
      <c r="M243" s="114"/>
      <c r="N243" s="114"/>
    </row>
    <row r="244" spans="1:14">
      <c r="A244" s="114"/>
      <c r="B244" s="114"/>
      <c r="C244" s="114"/>
      <c r="D244" s="114"/>
      <c r="E244" s="114"/>
      <c r="F244" s="114"/>
      <c r="G244" s="114"/>
      <c r="H244" s="114"/>
      <c r="I244" s="114"/>
      <c r="J244" s="114"/>
      <c r="K244" s="114"/>
      <c r="L244" s="114"/>
      <c r="M244" s="114"/>
      <c r="N244" s="114"/>
    </row>
    <row r="245" spans="1:14">
      <c r="A245" s="114"/>
      <c r="B245" s="114"/>
      <c r="C245" s="114"/>
      <c r="D245" s="114"/>
      <c r="E245" s="114"/>
      <c r="F245" s="114"/>
      <c r="G245" s="114"/>
      <c r="H245" s="114"/>
      <c r="I245" s="114"/>
      <c r="J245" s="114"/>
      <c r="K245" s="114"/>
      <c r="L245" s="114"/>
      <c r="M245" s="114"/>
      <c r="N245" s="114"/>
    </row>
    <row r="246" spans="1:14">
      <c r="A246" s="114"/>
      <c r="B246" s="114"/>
      <c r="C246" s="114"/>
      <c r="D246" s="114"/>
      <c r="E246" s="114"/>
      <c r="F246" s="114"/>
      <c r="G246" s="114"/>
      <c r="H246" s="114"/>
      <c r="I246" s="114"/>
      <c r="J246" s="114"/>
      <c r="K246" s="114"/>
      <c r="L246" s="114"/>
      <c r="M246" s="114"/>
      <c r="N246" s="114"/>
    </row>
    <row r="247" spans="1:14">
      <c r="A247" s="114"/>
      <c r="B247" s="114"/>
      <c r="C247" s="114"/>
      <c r="D247" s="114"/>
      <c r="E247" s="114"/>
      <c r="F247" s="114"/>
      <c r="G247" s="114"/>
      <c r="H247" s="114"/>
      <c r="I247" s="114"/>
      <c r="J247" s="114"/>
      <c r="K247" s="114"/>
      <c r="L247" s="114"/>
      <c r="M247" s="114"/>
      <c r="N247" s="114"/>
    </row>
    <row r="248" spans="1:14">
      <c r="A248" s="114"/>
      <c r="B248" s="114"/>
      <c r="C248" s="114"/>
      <c r="D248" s="114"/>
      <c r="E248" s="114"/>
      <c r="F248" s="114"/>
      <c r="G248" s="114"/>
      <c r="H248" s="114"/>
      <c r="I248" s="114"/>
      <c r="J248" s="114"/>
      <c r="K248" s="114"/>
      <c r="L248" s="114"/>
      <c r="M248" s="114"/>
      <c r="N248" s="114"/>
    </row>
    <row r="249" spans="1:14">
      <c r="A249" s="114"/>
      <c r="B249" s="114"/>
      <c r="C249" s="114"/>
      <c r="D249" s="114"/>
      <c r="E249" s="114"/>
      <c r="F249" s="114"/>
      <c r="G249" s="114"/>
      <c r="H249" s="114"/>
      <c r="I249" s="114"/>
      <c r="J249" s="114"/>
      <c r="K249" s="114"/>
      <c r="L249" s="114"/>
      <c r="M249" s="114"/>
      <c r="N249" s="114"/>
    </row>
    <row r="250" spans="1:14">
      <c r="A250" s="114"/>
      <c r="B250" s="114"/>
      <c r="C250" s="114"/>
      <c r="D250" s="114"/>
      <c r="E250" s="114"/>
      <c r="F250" s="114"/>
      <c r="G250" s="114"/>
      <c r="H250" s="114"/>
      <c r="I250" s="114"/>
      <c r="J250" s="114"/>
      <c r="K250" s="114"/>
      <c r="L250" s="114"/>
      <c r="M250" s="114"/>
      <c r="N250" s="114"/>
    </row>
    <row r="251" spans="1:14">
      <c r="A251" s="114"/>
      <c r="B251" s="114"/>
      <c r="C251" s="114"/>
      <c r="D251" s="114"/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</row>
    <row r="252" spans="1:14">
      <c r="A252" s="114"/>
      <c r="B252" s="114"/>
      <c r="C252" s="114"/>
      <c r="D252" s="114"/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</row>
    <row r="253" spans="1:14">
      <c r="A253" s="114"/>
      <c r="B253" s="114"/>
      <c r="C253" s="114"/>
      <c r="D253" s="114"/>
      <c r="E253" s="114"/>
      <c r="F253" s="114"/>
      <c r="G253" s="114"/>
      <c r="H253" s="114"/>
      <c r="I253" s="114"/>
      <c r="J253" s="114"/>
      <c r="K253" s="114"/>
      <c r="L253" s="114"/>
      <c r="M253" s="114"/>
      <c r="N253" s="114"/>
    </row>
    <row r="254" spans="1:14">
      <c r="A254" s="114"/>
      <c r="B254" s="114"/>
      <c r="C254" s="114"/>
      <c r="D254" s="114"/>
      <c r="E254" s="114"/>
      <c r="F254" s="114"/>
      <c r="G254" s="114"/>
      <c r="H254" s="114"/>
      <c r="I254" s="114"/>
      <c r="J254" s="114"/>
      <c r="K254" s="114"/>
      <c r="L254" s="114"/>
      <c r="M254" s="114"/>
      <c r="N254" s="114"/>
    </row>
    <row r="255" spans="1:14">
      <c r="A255" s="114"/>
      <c r="B255" s="114"/>
      <c r="C255" s="114"/>
      <c r="D255" s="114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</row>
    <row r="256" spans="1:14">
      <c r="A256" s="114"/>
      <c r="B256" s="114"/>
      <c r="C256" s="114"/>
      <c r="D256" s="114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</row>
    <row r="257" spans="1:14">
      <c r="A257" s="114"/>
      <c r="B257" s="114"/>
      <c r="C257" s="114"/>
      <c r="D257" s="114"/>
      <c r="E257" s="114"/>
      <c r="F257" s="114"/>
      <c r="G257" s="114"/>
      <c r="H257" s="114"/>
      <c r="I257" s="114"/>
      <c r="J257" s="114"/>
      <c r="K257" s="114"/>
      <c r="L257" s="114"/>
      <c r="M257" s="114"/>
      <c r="N257" s="114"/>
    </row>
    <row r="258" spans="1:14">
      <c r="A258" s="114"/>
      <c r="B258" s="114"/>
      <c r="C258" s="114"/>
      <c r="D258" s="114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</row>
  </sheetData>
  <mergeCells count="4">
    <mergeCell ref="A1:N1"/>
    <mergeCell ref="A2:N2"/>
    <mergeCell ref="A14:N14"/>
    <mergeCell ref="A16:N1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9"/>
  <sheetViews>
    <sheetView tabSelected="1" workbookViewId="0">
      <pane ySplit="12" topLeftCell="A133" activePane="bottomLeft" state="frozen"/>
      <selection pane="bottomLeft" sqref="A1:I1"/>
    </sheetView>
  </sheetViews>
  <sheetFormatPr defaultRowHeight="14.25"/>
  <cols>
    <col min="1" max="1" width="40" customWidth="1"/>
    <col min="2" max="2" width="14" customWidth="1"/>
    <col min="3" max="9" width="19" customWidth="1"/>
  </cols>
  <sheetData>
    <row r="1" spans="1:9" ht="32.1" customHeight="1">
      <c r="A1" s="71" t="s">
        <v>784</v>
      </c>
      <c r="B1" s="71"/>
      <c r="C1" s="71"/>
      <c r="D1" s="71"/>
      <c r="E1" s="71"/>
      <c r="F1" s="71"/>
      <c r="G1" s="71"/>
      <c r="H1" s="71"/>
      <c r="I1" s="71"/>
    </row>
    <row r="2" spans="1:9" ht="32.1" customHeight="1">
      <c r="A2" s="72" t="s">
        <v>785</v>
      </c>
      <c r="B2" s="72"/>
      <c r="C2" s="72"/>
      <c r="D2" s="72"/>
      <c r="E2" s="72"/>
      <c r="F2" s="72"/>
      <c r="G2" s="72"/>
      <c r="H2" s="72"/>
      <c r="I2" s="72"/>
    </row>
    <row r="3" spans="1:9" ht="32.1" customHeight="1">
      <c r="A3" s="38"/>
      <c r="B3" s="38"/>
      <c r="C3" s="38"/>
      <c r="D3" s="38"/>
      <c r="E3" s="38"/>
      <c r="F3" s="38"/>
      <c r="G3" s="38"/>
      <c r="H3" s="38"/>
      <c r="I3" s="38"/>
    </row>
    <row r="4" spans="1:9" ht="32.1" customHeight="1">
      <c r="A4" s="39" t="s">
        <v>786</v>
      </c>
      <c r="B4" s="39" t="s">
        <v>787</v>
      </c>
      <c r="C4" s="39"/>
      <c r="D4" s="39" t="s">
        <v>788</v>
      </c>
      <c r="E4" s="39" t="s">
        <v>3</v>
      </c>
      <c r="F4" s="39"/>
      <c r="G4" s="39"/>
      <c r="H4" s="39"/>
      <c r="I4" s="39"/>
    </row>
    <row r="5" spans="1:9" ht="32.1" customHeight="1">
      <c r="A5" s="38" t="s">
        <v>789</v>
      </c>
      <c r="B5" s="38">
        <v>7</v>
      </c>
      <c r="C5" s="38"/>
      <c r="D5" s="38" t="s">
        <v>790</v>
      </c>
      <c r="E5" s="40">
        <f>B5/B6/B7</f>
        <v>1.9444444444444445E-2</v>
      </c>
      <c r="F5" s="38"/>
      <c r="G5" s="38"/>
      <c r="H5" s="38"/>
      <c r="I5" s="38"/>
    </row>
    <row r="6" spans="1:9" ht="32.1" customHeight="1">
      <c r="A6" s="38" t="s">
        <v>791</v>
      </c>
      <c r="B6" s="38">
        <v>30</v>
      </c>
      <c r="C6" s="38"/>
      <c r="D6" s="38" t="s">
        <v>792</v>
      </c>
      <c r="E6" s="40">
        <f>B8/B6/B7</f>
        <v>8.3333333333333332E-3</v>
      </c>
      <c r="F6" s="38"/>
      <c r="G6" s="38"/>
      <c r="H6" s="38"/>
      <c r="I6" s="38"/>
    </row>
    <row r="7" spans="1:9" ht="32.1" customHeight="1">
      <c r="A7" s="38" t="s">
        <v>478</v>
      </c>
      <c r="B7" s="38">
        <v>12</v>
      </c>
      <c r="C7" s="38"/>
      <c r="D7" s="38"/>
      <c r="E7" s="38"/>
      <c r="F7" s="38"/>
      <c r="G7" s="38"/>
      <c r="H7" s="38"/>
      <c r="I7" s="38"/>
    </row>
    <row r="8" spans="1:9" ht="32.1" customHeight="1">
      <c r="A8" s="38" t="s">
        <v>793</v>
      </c>
      <c r="B8" s="38">
        <v>3</v>
      </c>
      <c r="C8" s="38"/>
      <c r="D8" s="38"/>
      <c r="E8" s="38"/>
      <c r="F8" s="38"/>
      <c r="G8" s="38"/>
      <c r="H8" s="38"/>
      <c r="I8" s="38"/>
    </row>
    <row r="9" spans="1:9" ht="32.1" customHeight="1">
      <c r="A9" s="38" t="s">
        <v>794</v>
      </c>
      <c r="B9" s="41">
        <v>1.9400000000000001E-2</v>
      </c>
      <c r="C9" s="38"/>
      <c r="D9" s="38"/>
      <c r="E9" s="38"/>
      <c r="F9" s="38"/>
      <c r="G9" s="38"/>
      <c r="H9" s="38"/>
      <c r="I9" s="38"/>
    </row>
    <row r="10" spans="1:9" ht="32.1" customHeight="1">
      <c r="A10" s="38" t="s">
        <v>795</v>
      </c>
      <c r="B10" s="41">
        <v>8.3000000000000001E-3</v>
      </c>
      <c r="C10" s="38"/>
      <c r="D10" s="38"/>
      <c r="E10" s="38"/>
      <c r="F10" s="38"/>
      <c r="G10" s="38"/>
      <c r="H10" s="38"/>
      <c r="I10" s="38"/>
    </row>
    <row r="11" spans="1:9" ht="32.1" customHeight="1">
      <c r="A11" s="38"/>
      <c r="B11" s="38"/>
      <c r="C11" s="38"/>
      <c r="D11" s="38"/>
      <c r="E11" s="38"/>
      <c r="F11" s="38"/>
      <c r="G11" s="38"/>
      <c r="H11" s="38"/>
      <c r="I11" s="38"/>
    </row>
    <row r="12" spans="1:9" ht="45" customHeight="1">
      <c r="A12" s="39" t="s">
        <v>796</v>
      </c>
      <c r="B12" s="39" t="s">
        <v>14</v>
      </c>
      <c r="C12" s="39" t="s">
        <v>797</v>
      </c>
      <c r="D12" s="39" t="s">
        <v>798</v>
      </c>
      <c r="E12" s="39" t="s">
        <v>799</v>
      </c>
      <c r="F12" s="39" t="s">
        <v>800</v>
      </c>
      <c r="G12" s="39" t="s">
        <v>801</v>
      </c>
      <c r="H12" s="39" t="s">
        <v>802</v>
      </c>
      <c r="I12" s="39" t="s">
        <v>803</v>
      </c>
    </row>
    <row r="13" spans="1:9" ht="45" customHeight="1">
      <c r="A13" s="38" t="str">
        <f>PCFP_Detalhada!B4</f>
        <v>1. Porteiro(a) 40h</v>
      </c>
      <c r="B13" s="38">
        <f>PCFP_Detalhada!B5</f>
        <v>20</v>
      </c>
      <c r="C13" s="42">
        <f>PCFP_Detalhada!B12</f>
        <v>2496.27</v>
      </c>
      <c r="D13" s="42">
        <f>PCFP_Detalhada!B25</f>
        <v>908.64140000000009</v>
      </c>
      <c r="E13" s="42">
        <f t="shared" ref="E13:E20" si="0">C13+D13</f>
        <v>3404.9114</v>
      </c>
      <c r="F13" s="42">
        <f t="shared" ref="F13:F20" si="1">E13*$B$9</f>
        <v>66.055281160000007</v>
      </c>
      <c r="G13" s="42">
        <f t="shared" ref="G13:G20" si="2">E13*$B$10</f>
        <v>28.26076462</v>
      </c>
      <c r="H13" s="42">
        <f t="shared" ref="H13:H20" si="3">F13*B13</f>
        <v>1321.1056232000001</v>
      </c>
      <c r="I13" s="42">
        <f t="shared" ref="I13:I20" si="4">G13*B13</f>
        <v>565.21529239999995</v>
      </c>
    </row>
    <row r="14" spans="1:9" ht="45" customHeight="1">
      <c r="A14" s="38" t="str">
        <f>PCFP_Detalhada!C4</f>
        <v>2. Cozinheiro(a) 40h</v>
      </c>
      <c r="B14" s="38">
        <f>PCFP_Detalhada!C5</f>
        <v>5</v>
      </c>
      <c r="C14" s="42">
        <f>PCFP_Detalhada!C12</f>
        <v>1857.54</v>
      </c>
      <c r="D14" s="42">
        <f>PCFP_Detalhada!C25</f>
        <v>863.93029999999999</v>
      </c>
      <c r="E14" s="42">
        <f t="shared" si="0"/>
        <v>2721.4703</v>
      </c>
      <c r="F14" s="42">
        <f t="shared" si="1"/>
        <v>52.796523819999997</v>
      </c>
      <c r="G14" s="42">
        <f t="shared" si="2"/>
        <v>22.588203490000001</v>
      </c>
      <c r="H14" s="42">
        <f t="shared" si="3"/>
        <v>263.98261909999997</v>
      </c>
      <c r="I14" s="42">
        <f t="shared" si="4"/>
        <v>112.94101745</v>
      </c>
    </row>
    <row r="15" spans="1:9" ht="45" customHeight="1">
      <c r="A15" s="38" t="str">
        <f>PCFP_Detalhada!D4</f>
        <v>3. Auxiliar de Limpeza 40h</v>
      </c>
      <c r="B15" s="38">
        <f>PCFP_Detalhada!D5</f>
        <v>5</v>
      </c>
      <c r="C15" s="42">
        <f>PCFP_Detalhada!D12</f>
        <v>2103.42</v>
      </c>
      <c r="D15" s="42">
        <f>PCFP_Detalhada!D25</f>
        <v>881.14190000000008</v>
      </c>
      <c r="E15" s="42">
        <f t="shared" si="0"/>
        <v>2984.5619000000002</v>
      </c>
      <c r="F15" s="42">
        <f t="shared" si="1"/>
        <v>57.900500860000008</v>
      </c>
      <c r="G15" s="42">
        <f t="shared" si="2"/>
        <v>24.771863770000003</v>
      </c>
      <c r="H15" s="42">
        <f t="shared" si="3"/>
        <v>289.50250430000006</v>
      </c>
      <c r="I15" s="42">
        <f t="shared" si="4"/>
        <v>123.85931885000002</v>
      </c>
    </row>
    <row r="16" spans="1:9" ht="45" customHeight="1">
      <c r="A16" s="38" t="str">
        <f>PCFP_Detalhada!E4</f>
        <v>4. Auxiliar de Limpeza 30h</v>
      </c>
      <c r="B16" s="38">
        <f>PCFP_Detalhada!E5</f>
        <v>25</v>
      </c>
      <c r="C16" s="42">
        <f>PCFP_Detalhada!E12</f>
        <v>1720.98</v>
      </c>
      <c r="D16" s="42">
        <f>PCFP_Detalhada!E25</f>
        <v>727.7600000000001</v>
      </c>
      <c r="E16" s="42">
        <f t="shared" si="0"/>
        <v>2448.7400000000002</v>
      </c>
      <c r="F16" s="42">
        <f t="shared" si="1"/>
        <v>47.505556000000006</v>
      </c>
      <c r="G16" s="42">
        <f t="shared" si="2"/>
        <v>20.324542000000001</v>
      </c>
      <c r="H16" s="42">
        <f t="shared" si="3"/>
        <v>1187.6389000000001</v>
      </c>
      <c r="I16" s="42">
        <f t="shared" si="4"/>
        <v>508.11355000000003</v>
      </c>
    </row>
    <row r="17" spans="1:9" ht="45" customHeight="1">
      <c r="A17" s="38" t="str">
        <f>PCFP_Detalhada!F4</f>
        <v>5. Agente de Apoio Escolar 30h</v>
      </c>
      <c r="B17" s="38">
        <f>PCFP_Detalhada!F5</f>
        <v>60</v>
      </c>
      <c r="C17" s="42">
        <f>PCFP_Detalhada!F12</f>
        <v>1434.15</v>
      </c>
      <c r="D17" s="42">
        <f>PCFP_Detalhada!F25</f>
        <v>707.68190000000004</v>
      </c>
      <c r="E17" s="42">
        <f t="shared" si="0"/>
        <v>2141.8319000000001</v>
      </c>
      <c r="F17" s="42">
        <f t="shared" si="1"/>
        <v>41.551538860000001</v>
      </c>
      <c r="G17" s="42">
        <f t="shared" si="2"/>
        <v>17.777204770000001</v>
      </c>
      <c r="H17" s="42">
        <f t="shared" si="3"/>
        <v>2493.0923315999999</v>
      </c>
      <c r="I17" s="42">
        <f t="shared" si="4"/>
        <v>1066.6322862</v>
      </c>
    </row>
    <row r="18" spans="1:9" ht="45" customHeight="1">
      <c r="A18" s="38" t="str">
        <f>PCFP_Detalhada!G4</f>
        <v>6. Emissor de Documentos 40h</v>
      </c>
      <c r="B18" s="38">
        <f>PCFP_Detalhada!G5</f>
        <v>5</v>
      </c>
      <c r="C18" s="42">
        <f>PCFP_Detalhada!G12</f>
        <v>1910.81</v>
      </c>
      <c r="D18" s="42">
        <f>PCFP_Detalhada!G25</f>
        <v>867.65920000000006</v>
      </c>
      <c r="E18" s="42">
        <f t="shared" si="0"/>
        <v>2778.4692</v>
      </c>
      <c r="F18" s="42">
        <f t="shared" si="1"/>
        <v>53.902302480000003</v>
      </c>
      <c r="G18" s="42">
        <f t="shared" si="2"/>
        <v>23.061294360000002</v>
      </c>
      <c r="H18" s="42">
        <f t="shared" si="3"/>
        <v>269.51151240000002</v>
      </c>
      <c r="I18" s="42">
        <f t="shared" si="4"/>
        <v>115.30647180000001</v>
      </c>
    </row>
    <row r="19" spans="1:9" ht="45" customHeight="1">
      <c r="A19" s="38" t="str">
        <f>PCFP_Detalhada!H4</f>
        <v>7. Apoio Administrativo 40h</v>
      </c>
      <c r="B19" s="38">
        <f>PCFP_Detalhada!H5</f>
        <v>5</v>
      </c>
      <c r="C19" s="42">
        <f>PCFP_Detalhada!H12</f>
        <v>1910.81</v>
      </c>
      <c r="D19" s="42">
        <f>PCFP_Detalhada!H25</f>
        <v>867.65920000000006</v>
      </c>
      <c r="E19" s="42">
        <f t="shared" si="0"/>
        <v>2778.4692</v>
      </c>
      <c r="F19" s="42">
        <f t="shared" si="1"/>
        <v>53.902302480000003</v>
      </c>
      <c r="G19" s="42">
        <f t="shared" si="2"/>
        <v>23.061294360000002</v>
      </c>
      <c r="H19" s="42">
        <f t="shared" si="3"/>
        <v>269.51151240000002</v>
      </c>
      <c r="I19" s="42">
        <f t="shared" si="4"/>
        <v>115.30647180000001</v>
      </c>
    </row>
    <row r="20" spans="1:9" ht="45" customHeight="1">
      <c r="A20" s="38" t="str">
        <f>PCFP_Detalhada!I4</f>
        <v>8. Apoio Administrativo 20h</v>
      </c>
      <c r="B20" s="38">
        <f>PCFP_Detalhada!I5</f>
        <v>20</v>
      </c>
      <c r="C20" s="42">
        <f>PCFP_Detalhada!I12</f>
        <v>1042.26</v>
      </c>
      <c r="D20" s="42">
        <f>PCFP_Detalhada!I25</f>
        <v>540.50367499999993</v>
      </c>
      <c r="E20" s="42">
        <f t="shared" si="0"/>
        <v>1582.7636749999999</v>
      </c>
      <c r="F20" s="42">
        <f t="shared" si="1"/>
        <v>30.705615294999998</v>
      </c>
      <c r="G20" s="42">
        <f t="shared" si="2"/>
        <v>13.1369385025</v>
      </c>
      <c r="H20" s="42">
        <f t="shared" si="3"/>
        <v>614.11230589999991</v>
      </c>
      <c r="I20" s="42">
        <f t="shared" si="4"/>
        <v>262.73877004999997</v>
      </c>
    </row>
    <row r="21" spans="1:9" ht="32.1" customHeight="1">
      <c r="A21" s="39" t="s">
        <v>804</v>
      </c>
      <c r="B21" s="39">
        <f>SUM(B13:B20)</f>
        <v>145</v>
      </c>
      <c r="C21" s="43"/>
      <c r="D21" s="43"/>
      <c r="E21" s="43"/>
      <c r="F21" s="43"/>
      <c r="G21" s="43"/>
      <c r="H21" s="43">
        <f>SUM(H13:H20)</f>
        <v>6708.4573089000005</v>
      </c>
      <c r="I21" s="43">
        <f>SUM(I13:I20)</f>
        <v>2870.1131785499997</v>
      </c>
    </row>
    <row r="22" spans="1:9" ht="32.1" customHeight="1">
      <c r="A22" s="38"/>
      <c r="B22" s="38"/>
      <c r="C22" s="38"/>
      <c r="D22" s="38"/>
      <c r="E22" s="38"/>
      <c r="F22" s="38"/>
      <c r="G22" s="38"/>
      <c r="H22" s="38"/>
      <c r="I22" s="38"/>
    </row>
    <row r="23" spans="1:9" ht="51.95" customHeight="1">
      <c r="A23" s="72" t="s">
        <v>805</v>
      </c>
      <c r="B23" s="72"/>
      <c r="C23" s="72"/>
      <c r="D23" s="72"/>
      <c r="E23" s="72"/>
      <c r="F23" s="72"/>
      <c r="G23" s="72"/>
      <c r="H23" s="72"/>
      <c r="I23" s="72"/>
    </row>
    <row r="24" spans="1:9" ht="51.95" customHeight="1">
      <c r="A24" s="38"/>
      <c r="B24" s="38"/>
      <c r="C24" s="38"/>
      <c r="D24" s="38"/>
      <c r="E24" s="38"/>
      <c r="F24" s="38"/>
      <c r="G24" s="38"/>
      <c r="H24" s="38"/>
      <c r="I24" s="38"/>
    </row>
    <row r="25" spans="1:9" ht="51.95" customHeight="1">
      <c r="A25" s="72" t="s">
        <v>806</v>
      </c>
      <c r="B25" s="72"/>
      <c r="C25" s="72"/>
      <c r="D25" s="72"/>
      <c r="E25" s="72"/>
      <c r="F25" s="72"/>
      <c r="G25" s="72"/>
      <c r="H25" s="72"/>
      <c r="I25" s="72"/>
    </row>
    <row r="26" spans="1:9" ht="51.95" customHeight="1">
      <c r="A26" s="38"/>
      <c r="B26" s="38"/>
      <c r="C26" s="38"/>
      <c r="D26" s="38"/>
      <c r="E26" s="38"/>
      <c r="F26" s="38"/>
      <c r="G26" s="38"/>
      <c r="H26" s="38"/>
      <c r="I26" s="38"/>
    </row>
    <row r="27" spans="1:9" ht="51.95" customHeight="1">
      <c r="A27" s="72" t="s">
        <v>807</v>
      </c>
      <c r="B27" s="72"/>
      <c r="C27" s="72"/>
      <c r="D27" s="72"/>
      <c r="E27" s="72"/>
      <c r="F27" s="72"/>
      <c r="G27" s="72"/>
      <c r="H27" s="72"/>
      <c r="I27" s="72"/>
    </row>
    <row r="28" spans="1:9" ht="51.95" customHeight="1">
      <c r="A28" s="38"/>
      <c r="B28" s="38"/>
      <c r="C28" s="38"/>
      <c r="D28" s="38"/>
      <c r="E28" s="38"/>
      <c r="F28" s="38"/>
      <c r="G28" s="38"/>
      <c r="H28" s="38"/>
      <c r="I28" s="38"/>
    </row>
    <row r="29" spans="1:9" ht="51.95" customHeight="1">
      <c r="A29" s="72" t="s">
        <v>808</v>
      </c>
      <c r="B29" s="72"/>
      <c r="C29" s="72"/>
      <c r="D29" s="72"/>
      <c r="E29" s="72"/>
      <c r="F29" s="72"/>
      <c r="G29" s="72"/>
      <c r="H29" s="72"/>
      <c r="I29" s="72"/>
    </row>
  </sheetData>
  <mergeCells count="6">
    <mergeCell ref="A29:I29"/>
    <mergeCell ref="A1:I1"/>
    <mergeCell ref="A2:I2"/>
    <mergeCell ref="A23:I23"/>
    <mergeCell ref="A25:I25"/>
    <mergeCell ref="A27:I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</vt:i4>
      </vt:variant>
    </vt:vector>
  </HeadingPairs>
  <TitlesOfParts>
    <vt:vector size="13" baseType="lpstr">
      <vt:lpstr>Resumo_Oficial</vt:lpstr>
      <vt:lpstr>PCFP_Sangao</vt:lpstr>
      <vt:lpstr>Tabela_SEA_2026</vt:lpstr>
      <vt:lpstr>Farol_PNCP_</vt:lpstr>
      <vt:lpstr>Matriz_Comparativa</vt:lpstr>
      <vt:lpstr>Memoria_Orcamento</vt:lpstr>
      <vt:lpstr>Metodologia</vt:lpstr>
      <vt:lpstr>Fontes_Links</vt:lpstr>
      <vt:lpstr>Inventario</vt:lpstr>
      <vt:lpstr>Parametros</vt:lpstr>
      <vt:lpstr>PCFP_Detalhada</vt:lpstr>
      <vt:lpstr>Ambientes</vt:lpstr>
      <vt:lpstr>Aviso_Trabalhado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2026-09-29T17:33:03Z</dcterms:modified>
</cp:coreProperties>
</file>